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1865" tabRatio="956" firstSheet="9" activeTab="21"/>
  </bookViews>
  <sheets>
    <sheet name="Naslovnica" sheetId="27" r:id="rId1"/>
    <sheet name="1.Pripremni" sheetId="1" r:id="rId2"/>
    <sheet name="2.Zemljani radovi" sheetId="2" r:id="rId3"/>
    <sheet name="3.Betonski i AB radovi" sheetId="3" r:id="rId4"/>
    <sheet name="4.Zidarski radovi" sheetId="6" r:id="rId5"/>
    <sheet name="5.Termoizolaterski radovi" sheetId="8" r:id="rId6"/>
    <sheet name="6. Hidroizolaterski radovi" sheetId="7" r:id="rId7"/>
    <sheet name="7.Parketarski radovi" sheetId="4" r:id="rId8"/>
    <sheet name="8.Keramičarski radovi" sheetId="9" r:id="rId9"/>
    <sheet name="9.Podopolagački radovi" sheetId="12" r:id="rId10"/>
    <sheet name="10.Gipskartonski radovi" sheetId="11" r:id="rId11"/>
    <sheet name="11.Soboslikarski radovi" sheetId="13" r:id="rId12"/>
    <sheet name="12.Fasaderski radovi" sheetId="10" r:id="rId13"/>
    <sheet name="13.Limarski radovi" sheetId="14" r:id="rId14"/>
    <sheet name="14.Kamenarski radovi" sheetId="15" r:id="rId15"/>
    <sheet name="15.Stolarija" sheetId="16" r:id="rId16"/>
    <sheet name="16.Alu. bravarija" sheetId="17" r:id="rId17"/>
    <sheet name="17.PP bravarija" sheetId="18" r:id="rId18"/>
    <sheet name="18.Crna Bravarija" sheetId="20" r:id="rId19"/>
    <sheet name="19.Okoliš" sheetId="22" r:id="rId20"/>
    <sheet name="20.Razni radovi" sheetId="23" r:id="rId21"/>
    <sheet name="VIK" sheetId="28" r:id="rId22"/>
    <sheet name="ELEKTRO" sheetId="30" r:id="rId23"/>
    <sheet name="GHV" sheetId="29" r:id="rId24"/>
    <sheet name="Rekapitulacija" sheetId="25" r:id="rId25"/>
  </sheets>
  <externalReferences>
    <externalReference r:id="rId26"/>
  </externalReferences>
  <definedNames>
    <definedName name="_xlnm.Print_Area" localSheetId="10">'10.Gipskartonski radovi'!$A$1:$G$47</definedName>
    <definedName name="_xlnm.Print_Area" localSheetId="11">'11.Soboslikarski radovi'!$A$1:$G$35</definedName>
    <definedName name="_xlnm.Print_Area" localSheetId="12">'12.Fasaderski radovi'!$A$1:$G$40</definedName>
    <definedName name="_xlnm.Print_Area" localSheetId="13">'13.Limarski radovi'!$A$1:$G$38</definedName>
    <definedName name="_xlnm.Print_Area" localSheetId="14">'14.Kamenarski radovi'!$A$1:$G$22</definedName>
    <definedName name="_xlnm.Print_Area" localSheetId="15">'15.Stolarija'!$A$1:$G$37</definedName>
    <definedName name="_xlnm.Print_Area" localSheetId="16">'16.Alu. bravarija'!$A$1:$G$81</definedName>
    <definedName name="_xlnm.Print_Area" localSheetId="17">'17.PP bravarija'!$A$1:$G$26</definedName>
    <definedName name="_xlnm.Print_Area" localSheetId="18">'18.Crna Bravarija'!$A$1:$G$36</definedName>
    <definedName name="_xlnm.Print_Area" localSheetId="19">'19.Okoliš'!$A$1:$G$69</definedName>
    <definedName name="_xlnm.Print_Area" localSheetId="2">'2.Zemljani radovi'!$A$1:$G$37</definedName>
    <definedName name="_xlnm.Print_Area" localSheetId="20">'20.Razni radovi'!$A$1:$G$32</definedName>
    <definedName name="_xlnm.Print_Area" localSheetId="3">'3.Betonski i AB radovi'!$A$1:$G$89</definedName>
    <definedName name="_xlnm.Print_Area" localSheetId="4">'4.Zidarski radovi'!$A$1:$G$43</definedName>
    <definedName name="_xlnm.Print_Area" localSheetId="5">'5.Termoizolaterski radovi'!$A$1:$G$36</definedName>
    <definedName name="_xlnm.Print_Area" localSheetId="6">'6. Hidroizolaterski radovi'!$A$1:$G$36</definedName>
    <definedName name="_xlnm.Print_Area" localSheetId="7">'7.Parketarski radovi'!$A$1:$G$28</definedName>
    <definedName name="_xlnm.Print_Area" localSheetId="8">'8.Keramičarski radovi'!$A$1:$G$45</definedName>
    <definedName name="_xlnm.Print_Area" localSheetId="9">'9.Podopolagački radovi'!$A$1:$G$25</definedName>
    <definedName name="_xlnm.Print_Area" localSheetId="22">ELEKTRO!$A$1:$F$496</definedName>
    <definedName name="_xlnm.Print_Area" localSheetId="23">GHV!$A$1:$F$561</definedName>
    <definedName name="_xlnm.Print_Area" localSheetId="0">Naslovnica!$A$1:$I$47</definedName>
    <definedName name="_xlnm.Print_Area" localSheetId="24">Rekapitulacija!$A$1:$G$53</definedName>
    <definedName name="_xlnm.Print_Area" localSheetId="21">VIK!$A$1:$G$382</definedName>
    <definedName name="_xlnm.Print_Titles" localSheetId="1">'1.Pripremni'!$1:$6</definedName>
    <definedName name="_xlnm.Print_Titles" localSheetId="10">'10.Gipskartonski radovi'!$1:$6</definedName>
    <definedName name="_xlnm.Print_Titles" localSheetId="11">'11.Soboslikarski radovi'!$1:$6</definedName>
    <definedName name="_xlnm.Print_Titles" localSheetId="12">'12.Fasaderski radovi'!$1:$6</definedName>
    <definedName name="_xlnm.Print_Titles" localSheetId="13">'13.Limarski radovi'!$1:$6</definedName>
    <definedName name="_xlnm.Print_Titles" localSheetId="14">'14.Kamenarski radovi'!$1:$6</definedName>
    <definedName name="_xlnm.Print_Titles" localSheetId="15">'15.Stolarija'!$1:$6</definedName>
    <definedName name="_xlnm.Print_Titles" localSheetId="16">'16.Alu. bravarija'!$1:$6</definedName>
    <definedName name="_xlnm.Print_Titles" localSheetId="17">'17.PP bravarija'!$1:$6</definedName>
    <definedName name="_xlnm.Print_Titles" localSheetId="18">'18.Crna Bravarija'!$1:$5</definedName>
    <definedName name="_xlnm.Print_Titles" localSheetId="19">'19.Okoliš'!$1:$6</definedName>
    <definedName name="_xlnm.Print_Titles" localSheetId="2">'2.Zemljani radovi'!$1:$6</definedName>
    <definedName name="_xlnm.Print_Titles" localSheetId="20">'20.Razni radovi'!$1:$6</definedName>
    <definedName name="_xlnm.Print_Titles" localSheetId="3">'3.Betonski i AB radovi'!$1:$6</definedName>
    <definedName name="_xlnm.Print_Titles" localSheetId="4">'4.Zidarski radovi'!$1:$6</definedName>
    <definedName name="_xlnm.Print_Titles" localSheetId="5">'5.Termoizolaterski radovi'!$1:$6</definedName>
    <definedName name="_xlnm.Print_Titles" localSheetId="6">'6. Hidroizolaterski radovi'!$1:$6</definedName>
    <definedName name="_xlnm.Print_Titles" localSheetId="7">'7.Parketarski radovi'!$1:$6</definedName>
    <definedName name="_xlnm.Print_Titles" localSheetId="8">'8.Keramičarski radovi'!$1:$6</definedName>
    <definedName name="_xlnm.Print_Titles" localSheetId="9">'9.Podopolagački radovi'!$1:$6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48" i="28" l="1"/>
  <c r="G340" i="28"/>
  <c r="G343" i="28"/>
  <c r="G346" i="28"/>
  <c r="F105" i="30" l="1"/>
  <c r="F93" i="30"/>
  <c r="F78" i="30"/>
  <c r="F20" i="30"/>
  <c r="F41" i="30"/>
  <c r="F53" i="30"/>
  <c r="F61" i="30"/>
  <c r="F69" i="30"/>
  <c r="F460" i="30" l="1"/>
  <c r="F458" i="30"/>
  <c r="F456" i="30"/>
  <c r="F454" i="30"/>
  <c r="F452" i="30"/>
  <c r="F450" i="30"/>
  <c r="F448" i="30"/>
  <c r="F446" i="30"/>
  <c r="F444" i="30"/>
  <c r="F442" i="30"/>
  <c r="F440" i="30"/>
  <c r="F438" i="30"/>
  <c r="F431" i="30"/>
  <c r="F429" i="30"/>
  <c r="F427" i="30"/>
  <c r="F425" i="30"/>
  <c r="F423" i="30"/>
  <c r="F421" i="30"/>
  <c r="F419" i="30"/>
  <c r="F433" i="30" s="1"/>
  <c r="F473" i="30" s="1"/>
  <c r="F411" i="30"/>
  <c r="F409" i="30"/>
  <c r="F407" i="30"/>
  <c r="F405" i="30"/>
  <c r="F403" i="30"/>
  <c r="F401" i="30"/>
  <c r="F399" i="30"/>
  <c r="F398" i="30"/>
  <c r="F395" i="30"/>
  <c r="F393" i="30"/>
  <c r="F391" i="30"/>
  <c r="F389" i="30"/>
  <c r="F387" i="30"/>
  <c r="F385" i="30"/>
  <c r="F383" i="30"/>
  <c r="F381" i="30"/>
  <c r="F379" i="30"/>
  <c r="F373" i="30"/>
  <c r="F371" i="30"/>
  <c r="F369" i="30"/>
  <c r="F367" i="30"/>
  <c r="F366" i="30"/>
  <c r="F365" i="30"/>
  <c r="F364" i="30"/>
  <c r="F361" i="30"/>
  <c r="F354" i="30"/>
  <c r="F353" i="30"/>
  <c r="F350" i="30"/>
  <c r="F345" i="30"/>
  <c r="F343" i="30"/>
  <c r="F341" i="30"/>
  <c r="F339" i="30"/>
  <c r="F337" i="30"/>
  <c r="F335" i="30"/>
  <c r="F333" i="30"/>
  <c r="F331" i="30"/>
  <c r="F328" i="30"/>
  <c r="F325" i="30"/>
  <c r="F324" i="30"/>
  <c r="F323" i="30"/>
  <c r="F322" i="30"/>
  <c r="F321" i="30"/>
  <c r="F320" i="30"/>
  <c r="F318" i="30"/>
  <c r="F315" i="30"/>
  <c r="F314" i="30"/>
  <c r="F313" i="30"/>
  <c r="F312" i="30"/>
  <c r="F347" i="30" s="1"/>
  <c r="F470" i="30" s="1"/>
  <c r="F309" i="30"/>
  <c r="F306" i="30"/>
  <c r="F304" i="30"/>
  <c r="F298" i="30"/>
  <c r="F296" i="30"/>
  <c r="F294" i="30"/>
  <c r="F292" i="30"/>
  <c r="F290" i="30"/>
  <c r="F288" i="30"/>
  <c r="F286" i="30"/>
  <c r="F284" i="30"/>
  <c r="F282" i="30"/>
  <c r="F280" i="30"/>
  <c r="F278" i="30"/>
  <c r="F276" i="30"/>
  <c r="F272" i="30"/>
  <c r="F270" i="30"/>
  <c r="F268" i="30"/>
  <c r="F266" i="30"/>
  <c r="F264" i="30"/>
  <c r="F263" i="30"/>
  <c r="F262" i="30"/>
  <c r="F261" i="30"/>
  <c r="F260" i="30"/>
  <c r="F259" i="30"/>
  <c r="F258" i="30"/>
  <c r="F257" i="30"/>
  <c r="F256" i="30"/>
  <c r="F255" i="30"/>
  <c r="F254" i="30"/>
  <c r="F253" i="30"/>
  <c r="F251" i="30"/>
  <c r="F250" i="30"/>
  <c r="F249" i="30"/>
  <c r="F248" i="30"/>
  <c r="F247" i="30"/>
  <c r="F246" i="30"/>
  <c r="F245" i="30"/>
  <c r="F242" i="30"/>
  <c r="F241" i="30"/>
  <c r="F238" i="30"/>
  <c r="F235" i="30"/>
  <c r="F232" i="30"/>
  <c r="F229" i="30"/>
  <c r="F227" i="30"/>
  <c r="F224" i="30"/>
  <c r="F222" i="30"/>
  <c r="F220" i="30"/>
  <c r="F218" i="30"/>
  <c r="F216" i="30"/>
  <c r="F214" i="30"/>
  <c r="F211" i="30"/>
  <c r="F300" i="30" s="1"/>
  <c r="F206" i="30"/>
  <c r="F204" i="30"/>
  <c r="F202" i="30"/>
  <c r="F200" i="30"/>
  <c r="F198" i="30"/>
  <c r="F196" i="30"/>
  <c r="F194" i="30"/>
  <c r="F192" i="30"/>
  <c r="F190" i="30"/>
  <c r="F188" i="30"/>
  <c r="F186" i="30"/>
  <c r="F184" i="30"/>
  <c r="F182" i="30"/>
  <c r="F180" i="30"/>
  <c r="F178" i="30"/>
  <c r="F176" i="30"/>
  <c r="F174" i="30"/>
  <c r="F172" i="30"/>
  <c r="F170" i="30"/>
  <c r="F169" i="30"/>
  <c r="F168" i="30"/>
  <c r="F165" i="30"/>
  <c r="F164" i="30"/>
  <c r="F163" i="30"/>
  <c r="F162" i="30"/>
  <c r="F159" i="30"/>
  <c r="F158" i="30"/>
  <c r="F157" i="30"/>
  <c r="F156" i="30"/>
  <c r="F155" i="30"/>
  <c r="F154" i="30"/>
  <c r="F153" i="30"/>
  <c r="F150" i="30"/>
  <c r="F147" i="30"/>
  <c r="F146" i="30"/>
  <c r="F145" i="30"/>
  <c r="F144" i="30"/>
  <c r="F143" i="30"/>
  <c r="F142" i="30"/>
  <c r="F141" i="30"/>
  <c r="F140" i="30"/>
  <c r="F139" i="30"/>
  <c r="F138" i="30"/>
  <c r="F137" i="30"/>
  <c r="F136" i="30"/>
  <c r="F135" i="30"/>
  <c r="F134" i="30"/>
  <c r="F131" i="30"/>
  <c r="F130" i="30"/>
  <c r="F129" i="30"/>
  <c r="F128" i="30"/>
  <c r="F127" i="30"/>
  <c r="F124" i="30"/>
  <c r="F123" i="30"/>
  <c r="F120" i="30"/>
  <c r="F119" i="30"/>
  <c r="F116" i="30"/>
  <c r="F114" i="30"/>
  <c r="F111" i="30"/>
  <c r="F107" i="30"/>
  <c r="F467" i="30" s="1"/>
  <c r="F462" i="30" l="1"/>
  <c r="F474" i="30" s="1"/>
  <c r="F413" i="30"/>
  <c r="F472" i="30" s="1"/>
  <c r="F375" i="30"/>
  <c r="F471" i="30" s="1"/>
  <c r="F208" i="30"/>
  <c r="F468" i="30" s="1"/>
  <c r="F469" i="30"/>
  <c r="F477" i="30" l="1"/>
  <c r="F478" i="30" s="1"/>
  <c r="F479" i="30" s="1"/>
  <c r="B559" i="29"/>
  <c r="B558" i="29"/>
  <c r="B557" i="29"/>
  <c r="B556" i="29"/>
  <c r="B555" i="29"/>
  <c r="B554" i="29"/>
  <c r="B553" i="29"/>
  <c r="F547" i="29"/>
  <c r="F545" i="29"/>
  <c r="F543" i="29"/>
  <c r="F541" i="29"/>
  <c r="F539" i="29"/>
  <c r="F537" i="29"/>
  <c r="F533" i="29"/>
  <c r="F528" i="29"/>
  <c r="F526" i="29"/>
  <c r="F524" i="29"/>
  <c r="F522" i="29"/>
  <c r="F520" i="29"/>
  <c r="F518" i="29"/>
  <c r="F516" i="29"/>
  <c r="F515" i="29"/>
  <c r="F513" i="29"/>
  <c r="F511" i="29"/>
  <c r="F510" i="29"/>
  <c r="F508" i="29"/>
  <c r="F507" i="29"/>
  <c r="F506" i="29"/>
  <c r="F505" i="29"/>
  <c r="F504" i="29"/>
  <c r="F503" i="29"/>
  <c r="F502" i="29"/>
  <c r="F501" i="29"/>
  <c r="F500" i="29"/>
  <c r="F498" i="29"/>
  <c r="F497" i="29"/>
  <c r="F496" i="29"/>
  <c r="F495" i="29"/>
  <c r="F494" i="29"/>
  <c r="F493" i="29"/>
  <c r="F492" i="29"/>
  <c r="F491" i="29"/>
  <c r="F490" i="29"/>
  <c r="F484" i="29"/>
  <c r="F479" i="29"/>
  <c r="A479" i="29"/>
  <c r="F473" i="29"/>
  <c r="F471" i="29"/>
  <c r="F469" i="29"/>
  <c r="F467" i="29"/>
  <c r="F465" i="29"/>
  <c r="F463" i="29"/>
  <c r="F461" i="29"/>
  <c r="F460" i="29"/>
  <c r="F458" i="29"/>
  <c r="F457" i="29"/>
  <c r="F451" i="29"/>
  <c r="F445" i="29"/>
  <c r="F443" i="29"/>
  <c r="F441" i="29"/>
  <c r="F439" i="29"/>
  <c r="F437" i="29"/>
  <c r="F435" i="29"/>
  <c r="F433" i="29"/>
  <c r="F431" i="29"/>
  <c r="F429" i="29"/>
  <c r="F428" i="29"/>
  <c r="F426" i="29"/>
  <c r="F424" i="29"/>
  <c r="F423" i="29"/>
  <c r="F422" i="29"/>
  <c r="F420" i="29"/>
  <c r="F419" i="29"/>
  <c r="F418" i="29"/>
  <c r="F417" i="29"/>
  <c r="F415" i="29"/>
  <c r="F414" i="29"/>
  <c r="F413" i="29"/>
  <c r="F412" i="29"/>
  <c r="F410" i="29"/>
  <c r="F409" i="29"/>
  <c r="F407" i="29"/>
  <c r="F406" i="29"/>
  <c r="F404" i="29"/>
  <c r="F403" i="29"/>
  <c r="F401" i="29"/>
  <c r="F400" i="29"/>
  <c r="F398" i="29"/>
  <c r="F397" i="29"/>
  <c r="F396" i="29"/>
  <c r="F394" i="29"/>
  <c r="F393" i="29"/>
  <c r="F392" i="29"/>
  <c r="F391" i="29"/>
  <c r="F390" i="29"/>
  <c r="F389" i="29"/>
  <c r="F387" i="29"/>
  <c r="F386" i="29"/>
  <c r="F385" i="29"/>
  <c r="F384" i="29"/>
  <c r="F383" i="29"/>
  <c r="F382" i="29"/>
  <c r="F380" i="29"/>
  <c r="F379" i="29"/>
  <c r="F378" i="29"/>
  <c r="F377" i="29"/>
  <c r="F376" i="29"/>
  <c r="F375" i="29"/>
  <c r="F370" i="29"/>
  <c r="F364" i="29"/>
  <c r="F363" i="29"/>
  <c r="F362" i="29"/>
  <c r="F361" i="29"/>
  <c r="F360" i="29"/>
  <c r="F359" i="29"/>
  <c r="F354" i="29"/>
  <c r="F344" i="29"/>
  <c r="F341" i="29"/>
  <c r="F312" i="29"/>
  <c r="F242" i="29"/>
  <c r="F240" i="29"/>
  <c r="F238" i="29"/>
  <c r="F236" i="29"/>
  <c r="F234" i="29"/>
  <c r="F232" i="29"/>
  <c r="F230" i="29"/>
  <c r="F229" i="29"/>
  <c r="F227" i="29"/>
  <c r="F226" i="29"/>
  <c r="F224" i="29"/>
  <c r="F223" i="29"/>
  <c r="F222" i="29"/>
  <c r="F220" i="29"/>
  <c r="F201" i="29"/>
  <c r="F163" i="29"/>
  <c r="F161" i="29"/>
  <c r="F160" i="29"/>
  <c r="F159" i="29"/>
  <c r="F158" i="29"/>
  <c r="F157" i="29"/>
  <c r="F156" i="29"/>
  <c r="F155" i="29"/>
  <c r="F151" i="29"/>
  <c r="F148" i="29"/>
  <c r="F143" i="29"/>
  <c r="F139" i="29"/>
  <c r="F135" i="29"/>
  <c r="F128" i="29"/>
  <c r="F123" i="29"/>
  <c r="F111" i="29"/>
  <c r="F91" i="29"/>
  <c r="F71" i="29"/>
  <c r="F48" i="29"/>
  <c r="G45" i="25" l="1"/>
  <c r="F530" i="29"/>
  <c r="C558" i="29" s="1"/>
  <c r="F549" i="29"/>
  <c r="C559" i="29" s="1"/>
  <c r="F448" i="29"/>
  <c r="C556" i="29" s="1"/>
  <c r="F346" i="29"/>
  <c r="C555" i="29" s="1"/>
  <c r="F476" i="29"/>
  <c r="C557" i="29" s="1"/>
  <c r="F244" i="29"/>
  <c r="C554" i="29" s="1"/>
  <c r="F165" i="29"/>
  <c r="C553" i="29" s="1"/>
  <c r="C561" i="29" l="1"/>
  <c r="G46" i="25" s="1"/>
  <c r="E10" i="28"/>
  <c r="G10" i="28" s="1"/>
  <c r="E11" i="28"/>
  <c r="E12" i="28"/>
  <c r="G12" i="28" s="1"/>
  <c r="E13" i="28"/>
  <c r="G13" i="28" s="1"/>
  <c r="G360" i="28"/>
  <c r="G356" i="28"/>
  <c r="G338" i="28"/>
  <c r="G335" i="28"/>
  <c r="G332" i="28"/>
  <c r="G329" i="28"/>
  <c r="G326" i="28"/>
  <c r="G323" i="28"/>
  <c r="G322" i="28"/>
  <c r="G319" i="28"/>
  <c r="G316" i="28"/>
  <c r="G313" i="28"/>
  <c r="G310" i="28"/>
  <c r="G300" i="28"/>
  <c r="G299" i="28"/>
  <c r="G298" i="28"/>
  <c r="G297" i="28"/>
  <c r="G296" i="28"/>
  <c r="G294" i="28"/>
  <c r="E292" i="28"/>
  <c r="G292" i="28" s="1"/>
  <c r="E275" i="28"/>
  <c r="G275" i="28" s="1"/>
  <c r="E272" i="28"/>
  <c r="E286" i="28" s="1"/>
  <c r="G286" i="28" s="1"/>
  <c r="E271" i="28"/>
  <c r="G271" i="28" s="1"/>
  <c r="E270" i="28"/>
  <c r="G270" i="28" s="1"/>
  <c r="E267" i="28"/>
  <c r="G267" i="28" s="1"/>
  <c r="E266" i="28"/>
  <c r="E281" i="28" s="1"/>
  <c r="G281" i="28" s="1"/>
  <c r="E265" i="28"/>
  <c r="G265" i="28" s="1"/>
  <c r="E260" i="28"/>
  <c r="G260" i="28" s="1"/>
  <c r="E259" i="28"/>
  <c r="G259" i="28" s="1"/>
  <c r="E258" i="28"/>
  <c r="G258" i="28" s="1"/>
  <c r="E257" i="28"/>
  <c r="G257" i="28" s="1"/>
  <c r="G247" i="28"/>
  <c r="G243" i="28"/>
  <c r="G231" i="28"/>
  <c r="G228" i="28"/>
  <c r="G225" i="28"/>
  <c r="G222" i="28"/>
  <c r="G219" i="28"/>
  <c r="G218" i="28"/>
  <c r="G216" i="28"/>
  <c r="G215" i="28"/>
  <c r="G211" i="28"/>
  <c r="G208" i="28"/>
  <c r="G205" i="28"/>
  <c r="G204" i="28"/>
  <c r="E197" i="28"/>
  <c r="G197" i="28" s="1"/>
  <c r="E196" i="28"/>
  <c r="G196" i="28" s="1"/>
  <c r="E193" i="28"/>
  <c r="G193" i="28" s="1"/>
  <c r="E192" i="28"/>
  <c r="G192" i="28" s="1"/>
  <c r="E191" i="28"/>
  <c r="G191" i="28" s="1"/>
  <c r="E188" i="28"/>
  <c r="G188" i="28" s="1"/>
  <c r="E187" i="28"/>
  <c r="G187" i="28" s="1"/>
  <c r="E186" i="28"/>
  <c r="G186" i="28" s="1"/>
  <c r="E185" i="28"/>
  <c r="G185" i="28" s="1"/>
  <c r="E180" i="28"/>
  <c r="G180" i="28" s="1"/>
  <c r="E179" i="28"/>
  <c r="G179" i="28" s="1"/>
  <c r="E178" i="28"/>
  <c r="G178" i="28" s="1"/>
  <c r="G165" i="28"/>
  <c r="G164" i="28"/>
  <c r="G163" i="28"/>
  <c r="G162" i="28"/>
  <c r="G161" i="28"/>
  <c r="G159" i="28"/>
  <c r="E151" i="28"/>
  <c r="G151" i="28" s="1"/>
  <c r="E150" i="28"/>
  <c r="G150" i="28" s="1"/>
  <c r="E147" i="28"/>
  <c r="G147" i="28" s="1"/>
  <c r="G121" i="28"/>
  <c r="G119" i="28"/>
  <c r="G116" i="28"/>
  <c r="G113" i="28"/>
  <c r="E111" i="28"/>
  <c r="G111" i="28" s="1"/>
  <c r="E110" i="28"/>
  <c r="G110" i="28" s="1"/>
  <c r="E107" i="28"/>
  <c r="G107" i="28" s="1"/>
  <c r="E106" i="28"/>
  <c r="G106" i="28" s="1"/>
  <c r="E103" i="28"/>
  <c r="G103" i="28" s="1"/>
  <c r="E102" i="28"/>
  <c r="G102" i="28" s="1"/>
  <c r="E98" i="28"/>
  <c r="G98" i="28" s="1"/>
  <c r="E97" i="28"/>
  <c r="G97" i="28" s="1"/>
  <c r="E94" i="28"/>
  <c r="G94" i="28" s="1"/>
  <c r="E93" i="28"/>
  <c r="G93" i="28" s="1"/>
  <c r="E90" i="28"/>
  <c r="G90" i="28" s="1"/>
  <c r="E89" i="28"/>
  <c r="E86" i="28"/>
  <c r="G86" i="28" s="1"/>
  <c r="E82" i="28"/>
  <c r="G82" i="28" s="1"/>
  <c r="E81" i="28"/>
  <c r="G81" i="28" s="1"/>
  <c r="E78" i="28"/>
  <c r="G78" i="28" s="1"/>
  <c r="E77" i="28"/>
  <c r="G77" i="28" s="1"/>
  <c r="E74" i="28"/>
  <c r="G74" i="28" s="1"/>
  <c r="E73" i="28"/>
  <c r="G73" i="28" s="1"/>
  <c r="E35" i="28"/>
  <c r="G35" i="28" s="1"/>
  <c r="E34" i="28"/>
  <c r="E41" i="28" s="1"/>
  <c r="G41" i="28" s="1"/>
  <c r="E33" i="28"/>
  <c r="G33" i="28" s="1"/>
  <c r="E32" i="28"/>
  <c r="G32" i="28" s="1"/>
  <c r="G21" i="28"/>
  <c r="G20" i="28"/>
  <c r="G19" i="28"/>
  <c r="G18" i="28"/>
  <c r="G17" i="28"/>
  <c r="G16" i="28"/>
  <c r="G15" i="28"/>
  <c r="E14" i="28"/>
  <c r="G14" i="28" s="1"/>
  <c r="G11" i="28"/>
  <c r="G266" i="28" l="1"/>
  <c r="G167" i="28"/>
  <c r="G375" i="28" s="1"/>
  <c r="G272" i="28"/>
  <c r="G34" i="28"/>
  <c r="G362" i="28"/>
  <c r="G377" i="28" s="1"/>
  <c r="G250" i="28"/>
  <c r="G24" i="28"/>
  <c r="G370" i="28" s="1"/>
  <c r="E123" i="28"/>
  <c r="E140" i="28" s="1"/>
  <c r="E133" i="28" s="1"/>
  <c r="G153" i="28"/>
  <c r="G374" i="28" s="1"/>
  <c r="E40" i="28"/>
  <c r="G40" i="28" s="1"/>
  <c r="E289" i="28"/>
  <c r="G289" i="28" s="1"/>
  <c r="E39" i="28"/>
  <c r="G39" i="28" s="1"/>
  <c r="G89" i="28"/>
  <c r="G123" i="28" s="1"/>
  <c r="G372" i="28" s="1"/>
  <c r="E280" i="28"/>
  <c r="G280" i="28" s="1"/>
  <c r="E282" i="28"/>
  <c r="G282" i="28" s="1"/>
  <c r="E50" i="28"/>
  <c r="E42" i="28"/>
  <c r="G42" i="28" s="1"/>
  <c r="E285" i="28"/>
  <c r="G285" i="28" s="1"/>
  <c r="G33" i="17"/>
  <c r="G27" i="17"/>
  <c r="G25" i="17"/>
  <c r="G24" i="17"/>
  <c r="G69" i="17"/>
  <c r="G66" i="17"/>
  <c r="G61" i="17"/>
  <c r="G58" i="17"/>
  <c r="G55" i="17"/>
  <c r="G52" i="17"/>
  <c r="G49" i="17"/>
  <c r="G46" i="17"/>
  <c r="G43" i="17"/>
  <c r="G42" i="17"/>
  <c r="G41" i="17"/>
  <c r="G37" i="17"/>
  <c r="G75" i="17"/>
  <c r="G77" i="17"/>
  <c r="G302" i="28" l="1"/>
  <c r="G350" i="28" s="1"/>
  <c r="G376" i="28" s="1"/>
  <c r="E137" i="28"/>
  <c r="G137" i="28" s="1"/>
  <c r="G50" i="28"/>
  <c r="E54" i="28"/>
  <c r="E45" i="28"/>
  <c r="G45" i="28" s="1"/>
  <c r="E131" i="28"/>
  <c r="E130" i="28"/>
  <c r="G133" i="28"/>
  <c r="G23" i="18"/>
  <c r="G22" i="18"/>
  <c r="G21" i="18"/>
  <c r="G28" i="14"/>
  <c r="G58" i="22"/>
  <c r="G31" i="8"/>
  <c r="G33" i="16"/>
  <c r="G30" i="16"/>
  <c r="G25" i="16"/>
  <c r="G24" i="16"/>
  <c r="G23" i="16"/>
  <c r="G22" i="16"/>
  <c r="G21" i="16"/>
  <c r="G20" i="16"/>
  <c r="G26" i="16"/>
  <c r="G52" i="22"/>
  <c r="G140" i="28" l="1"/>
  <c r="G373" i="28" s="1"/>
  <c r="G54" i="28"/>
  <c r="E58" i="28"/>
  <c r="G33" i="22"/>
  <c r="G32" i="20"/>
  <c r="G31" i="20"/>
  <c r="G28" i="20"/>
  <c r="G25" i="20"/>
  <c r="G22" i="20"/>
  <c r="G20" i="20"/>
  <c r="G58" i="28" l="1"/>
  <c r="E62" i="28"/>
  <c r="D42" i="22"/>
  <c r="D41" i="22"/>
  <c r="D36" i="22"/>
  <c r="D37" i="22"/>
  <c r="G37" i="22" s="1"/>
  <c r="G62" i="28" l="1"/>
  <c r="E66" i="28"/>
  <c r="G66" i="28" s="1"/>
  <c r="G68" i="28" s="1"/>
  <c r="G371" i="28" s="1"/>
  <c r="G379" i="28" s="1"/>
  <c r="G44" i="25" s="1"/>
  <c r="G28" i="23"/>
  <c r="G380" i="28" l="1"/>
  <c r="G382" i="28" s="1"/>
  <c r="G25" i="23"/>
  <c r="G22" i="23"/>
  <c r="G28" i="22"/>
  <c r="D47" i="22" l="1"/>
  <c r="G47" i="22" s="1"/>
  <c r="D46" i="22"/>
  <c r="D48" i="22" s="1"/>
  <c r="G48" i="22" s="1"/>
  <c r="D29" i="2"/>
  <c r="G46" i="22" l="1"/>
  <c r="D25" i="22"/>
  <c r="D55" i="22"/>
  <c r="G55" i="22" s="1"/>
  <c r="D43" i="22" l="1"/>
  <c r="G43" i="22" s="1"/>
  <c r="D38" i="22"/>
  <c r="G38" i="22" s="1"/>
  <c r="D22" i="22"/>
  <c r="D16" i="22"/>
  <c r="D41" i="9"/>
  <c r="D44" i="3"/>
  <c r="D43" i="3"/>
  <c r="D29" i="16" l="1"/>
  <c r="G29" i="16" s="1"/>
  <c r="D18" i="15" l="1"/>
  <c r="D29" i="10"/>
  <c r="D21" i="12" l="1"/>
  <c r="G21" i="12" s="1"/>
  <c r="D30" i="8" l="1"/>
  <c r="D37" i="6"/>
  <c r="D21" i="6"/>
  <c r="D18" i="6"/>
  <c r="D27" i="14"/>
  <c r="D26" i="14"/>
  <c r="G26" i="14" s="1"/>
  <c r="D20" i="14"/>
  <c r="D33" i="10"/>
  <c r="G33" i="10" s="1"/>
  <c r="D32" i="10"/>
  <c r="G32" i="10"/>
  <c r="D38" i="11"/>
  <c r="D35" i="11"/>
  <c r="D32" i="11"/>
  <c r="D29" i="11"/>
  <c r="D20" i="11"/>
  <c r="D26" i="11"/>
  <c r="D19" i="11"/>
  <c r="D18" i="11"/>
  <c r="D38" i="9" l="1"/>
  <c r="D24" i="9"/>
  <c r="G24" i="9" s="1"/>
  <c r="D23" i="9"/>
  <c r="G23" i="9" s="1"/>
  <c r="D35" i="9"/>
  <c r="D34" i="9"/>
  <c r="D33" i="9"/>
  <c r="D22" i="9"/>
  <c r="G22" i="9" s="1"/>
  <c r="D27" i="9"/>
  <c r="D21" i="9"/>
  <c r="D25" i="7"/>
  <c r="D30" i="9"/>
  <c r="D24" i="4"/>
  <c r="D21" i="4"/>
  <c r="D32" i="7"/>
  <c r="D28" i="7"/>
  <c r="D24" i="7"/>
  <c r="D35" i="3"/>
  <c r="D26" i="8"/>
  <c r="D23" i="8"/>
  <c r="D20" i="8"/>
  <c r="D34" i="6"/>
  <c r="G34" i="6" s="1"/>
  <c r="D33" i="6"/>
  <c r="D30" i="6"/>
  <c r="D29" i="6"/>
  <c r="G29" i="6" s="1"/>
  <c r="D28" i="6"/>
  <c r="D40" i="6" l="1"/>
  <c r="D24" i="6"/>
  <c r="D85" i="3" l="1"/>
  <c r="D81" i="3"/>
  <c r="D75" i="3" l="1"/>
  <c r="D72" i="3"/>
  <c r="D71" i="3"/>
  <c r="D68" i="3"/>
  <c r="D67" i="3"/>
  <c r="D52" i="3"/>
  <c r="D51" i="3"/>
  <c r="D64" i="3" l="1"/>
  <c r="D63" i="3"/>
  <c r="D60" i="3"/>
  <c r="D59" i="3"/>
  <c r="D56" i="3"/>
  <c r="D55" i="3"/>
  <c r="D48" i="3"/>
  <c r="D47" i="3"/>
  <c r="D36" i="3" l="1"/>
  <c r="D40" i="3"/>
  <c r="D39" i="3"/>
  <c r="D32" i="3" l="1"/>
  <c r="D31" i="3"/>
  <c r="D28" i="3"/>
  <c r="D27" i="3"/>
  <c r="D20" i="3"/>
  <c r="D26" i="2"/>
  <c r="D23" i="2"/>
  <c r="G24" i="13" l="1"/>
  <c r="G85" i="3" l="1"/>
  <c r="G81" i="3"/>
  <c r="G80" i="3" l="1"/>
  <c r="G20" i="12"/>
  <c r="G51" i="3"/>
  <c r="G52" i="3"/>
  <c r="G28" i="3"/>
  <c r="G68" i="3" l="1"/>
  <c r="G64" i="3"/>
  <c r="G56" i="3"/>
  <c r="G48" i="3"/>
  <c r="G20" i="23" l="1"/>
  <c r="G19" i="23"/>
  <c r="G23" i="2"/>
  <c r="G26" i="1"/>
  <c r="G75" i="3" l="1"/>
  <c r="G21" i="20"/>
  <c r="G76" i="17"/>
  <c r="G72" i="17"/>
  <c r="G70" i="17"/>
  <c r="G53" i="17"/>
  <c r="G38" i="17"/>
  <c r="G34" i="17"/>
  <c r="G30" i="17"/>
  <c r="G26" i="17"/>
  <c r="G21" i="17"/>
  <c r="G26" i="18" l="1"/>
  <c r="G35" i="25" s="1"/>
  <c r="G80" i="17"/>
  <c r="G33" i="25" s="1"/>
  <c r="G35" i="20"/>
  <c r="G31" i="23"/>
  <c r="G41" i="25" s="1"/>
  <c r="G36" i="16"/>
  <c r="G31" i="25" s="1"/>
  <c r="G37" i="25" l="1"/>
  <c r="G41" i="9"/>
  <c r="G38" i="9"/>
  <c r="G66" i="22" l="1"/>
  <c r="G63" i="22"/>
  <c r="G51" i="22"/>
  <c r="G42" i="22"/>
  <c r="G41" i="22"/>
  <c r="G36" i="22"/>
  <c r="G25" i="22"/>
  <c r="G22" i="22"/>
  <c r="G19" i="22"/>
  <c r="G16" i="22"/>
  <c r="G16" i="12"/>
  <c r="G13" i="12"/>
  <c r="B2" i="12"/>
  <c r="G18" i="15"/>
  <c r="G34" i="14"/>
  <c r="G31" i="14"/>
  <c r="G27" i="14"/>
  <c r="G23" i="14"/>
  <c r="G20" i="14"/>
  <c r="G30" i="13"/>
  <c r="G27" i="13"/>
  <c r="G21" i="13"/>
  <c r="G36" i="10"/>
  <c r="G29" i="10"/>
  <c r="G24" i="10"/>
  <c r="G43" i="11"/>
  <c r="G42" i="11"/>
  <c r="G41" i="11"/>
  <c r="G38" i="11"/>
  <c r="G35" i="11"/>
  <c r="G32" i="11"/>
  <c r="G29" i="11"/>
  <c r="G26" i="11"/>
  <c r="G23" i="11"/>
  <c r="G20" i="11"/>
  <c r="G19" i="11"/>
  <c r="G18" i="11"/>
  <c r="G35" i="9"/>
  <c r="G34" i="9"/>
  <c r="G33" i="9"/>
  <c r="G30" i="9"/>
  <c r="G27" i="9"/>
  <c r="G21" i="9"/>
  <c r="G24" i="4"/>
  <c r="G21" i="4"/>
  <c r="G32" i="7"/>
  <c r="G28" i="7"/>
  <c r="G25" i="7"/>
  <c r="G24" i="7"/>
  <c r="G21" i="7"/>
  <c r="G30" i="8"/>
  <c r="G26" i="8"/>
  <c r="G23" i="8"/>
  <c r="G20" i="8"/>
  <c r="G40" i="6"/>
  <c r="G37" i="6"/>
  <c r="G33" i="6"/>
  <c r="G30" i="6"/>
  <c r="G28" i="6"/>
  <c r="G25" i="6"/>
  <c r="G24" i="6"/>
  <c r="G21" i="6"/>
  <c r="G18" i="6"/>
  <c r="G72" i="3"/>
  <c r="G71" i="3"/>
  <c r="G67" i="3"/>
  <c r="G63" i="3"/>
  <c r="G60" i="3"/>
  <c r="G59" i="3"/>
  <c r="G55" i="3"/>
  <c r="G47" i="3"/>
  <c r="G44" i="3"/>
  <c r="G43" i="3"/>
  <c r="G40" i="3"/>
  <c r="G39" i="3"/>
  <c r="G36" i="3"/>
  <c r="G35" i="3"/>
  <c r="G32" i="3"/>
  <c r="G31" i="3"/>
  <c r="G27" i="3"/>
  <c r="G23" i="3"/>
  <c r="G20" i="3"/>
  <c r="G32" i="2"/>
  <c r="G29" i="2"/>
  <c r="G26" i="2"/>
  <c r="G20" i="2"/>
  <c r="G23" i="1"/>
  <c r="G20" i="1"/>
  <c r="G39" i="10" l="1"/>
  <c r="G25" i="25" s="1"/>
  <c r="G69" i="22"/>
  <c r="G39" i="25" s="1"/>
  <c r="G43" i="6"/>
  <c r="G9" i="25" s="1"/>
  <c r="G89" i="3"/>
  <c r="G7" i="25" s="1"/>
  <c r="G29" i="1"/>
  <c r="G3" i="25" s="1"/>
  <c r="G27" i="4"/>
  <c r="G15" i="25" s="1"/>
  <c r="G21" i="15"/>
  <c r="G29" i="25" s="1"/>
  <c r="G35" i="8"/>
  <c r="G11" i="25" s="1"/>
  <c r="G24" i="12"/>
  <c r="G19" i="25" s="1"/>
  <c r="G46" i="11"/>
  <c r="G21" i="25" s="1"/>
  <c r="G35" i="7"/>
  <c r="G13" i="25" s="1"/>
  <c r="G44" i="9"/>
  <c r="G17" i="25" s="1"/>
  <c r="G37" i="14"/>
  <c r="G27" i="25" s="1"/>
  <c r="G36" i="2"/>
  <c r="G5" i="25" s="1"/>
  <c r="G34" i="13"/>
  <c r="G23" i="25" s="1"/>
  <c r="G48" i="25" l="1"/>
  <c r="G49" i="25" l="1"/>
  <c r="G51" i="25" s="1"/>
</calcChain>
</file>

<file path=xl/sharedStrings.xml><?xml version="1.0" encoding="utf-8"?>
<sst xmlns="http://schemas.openxmlformats.org/spreadsheetml/2006/main" count="3176" uniqueCount="1567">
  <si>
    <t>GRAĐEVINSKO - OBRTNIČKI RADOVI</t>
  </si>
  <si>
    <t>4. ZIDARSKI RADOVI</t>
  </si>
  <si>
    <t>poz.</t>
  </si>
  <si>
    <t>opis</t>
  </si>
  <si>
    <t>jed.</t>
  </si>
  <si>
    <t>jed.cijena</t>
  </si>
  <si>
    <t>količina</t>
  </si>
  <si>
    <t>ukupno</t>
  </si>
  <si>
    <t>Opći uvjeti i napomene</t>
  </si>
  <si>
    <t>4.1.</t>
  </si>
  <si>
    <r>
      <t>m</t>
    </r>
    <r>
      <rPr>
        <vertAlign val="superscript"/>
        <sz val="10"/>
        <rFont val="Arial"/>
        <family val="2"/>
      </rPr>
      <t>2</t>
    </r>
  </si>
  <si>
    <t>4.2.</t>
  </si>
  <si>
    <t>4.3.</t>
  </si>
  <si>
    <t>AB kape na krovu</t>
  </si>
  <si>
    <r>
      <t>m</t>
    </r>
    <r>
      <rPr>
        <vertAlign val="superscript"/>
        <sz val="10"/>
        <rFont val="Arial"/>
        <family val="2"/>
      </rPr>
      <t>3</t>
    </r>
  </si>
  <si>
    <t>UKUPNO:</t>
  </si>
  <si>
    <t>Obračun se po m² očišćene zarasle površine</t>
  </si>
  <si>
    <r>
      <rPr>
        <b/>
        <sz val="10"/>
        <rFont val="Arial"/>
        <family val="2"/>
        <charset val="238"/>
      </rPr>
      <t>Geodetsko mjerenje i iskolčenje.</t>
    </r>
    <r>
      <rPr>
        <sz val="10"/>
        <rFont val="Arial"/>
        <family val="2"/>
        <charset val="238"/>
      </rPr>
      <t xml:space="preserve">
Stavka obuhvaća geodetsku izmjeru početnog stanja terena  kao podloga za obračun zemljanih radova, iskolčenje površina, sva geodetska mjerena kojima se podaci iz projekta prenose na teren ili s terena u projekte, osiguranje iskolčenih osi, profiliranje, obnavljanje i održavanje iskolčenih oznaka na terenu za sve vrijeme građenja, odnosno do predaje radova naručitelju.</t>
    </r>
  </si>
  <si>
    <t>pauš.</t>
  </si>
  <si>
    <t>1.1.</t>
  </si>
  <si>
    <t>1.2.</t>
  </si>
  <si>
    <r>
      <t>Obračun po m</t>
    </r>
    <r>
      <rPr>
        <vertAlign val="superscript"/>
        <sz val="10"/>
        <rFont val="Arial"/>
        <family val="2"/>
        <charset val="238"/>
      </rPr>
      <t>3</t>
    </r>
  </si>
  <si>
    <r>
      <t>m</t>
    </r>
    <r>
      <rPr>
        <vertAlign val="superscript"/>
        <sz val="10"/>
        <rFont val="Arial"/>
        <family val="2"/>
        <charset val="238"/>
      </rPr>
      <t>2</t>
    </r>
  </si>
  <si>
    <t>Obračun po m2</t>
  </si>
  <si>
    <t>2. ZEMLJANI RADOVI</t>
  </si>
  <si>
    <r>
      <t>Obračun po m</t>
    </r>
    <r>
      <rPr>
        <vertAlign val="superscript"/>
        <sz val="10"/>
        <rFont val="Arial"/>
        <family val="2"/>
        <charset val="238"/>
      </rPr>
      <t xml:space="preserve">3 </t>
    </r>
    <r>
      <rPr>
        <sz val="10"/>
        <rFont val="Arial"/>
        <family val="2"/>
        <charset val="238"/>
      </rPr>
      <t>ugrađenog materijala</t>
    </r>
  </si>
  <si>
    <r>
      <t>m</t>
    </r>
    <r>
      <rPr>
        <vertAlign val="superscript"/>
        <sz val="10"/>
        <rFont val="Arial"/>
        <family val="2"/>
        <charset val="238"/>
      </rPr>
      <t>3</t>
    </r>
  </si>
  <si>
    <t>1.3.</t>
  </si>
  <si>
    <t>Napomena I - Kod Izvedbe AB zidova na pozicijama dilatacija izvodi se prvo jedan zid u obostranoj oplati, zatim se postavlja EPS debljine 5 cm  u prostor dilatacije te jednostrana oplata drugog zida. EPS izračunat zasebno u izolaterskim radovima.</t>
  </si>
  <si>
    <t>1. PRIPREMNI RADOVI</t>
  </si>
  <si>
    <t>oplata</t>
  </si>
  <si>
    <t>3. BETONSKI I ARMIRANO-BETONSKI RADOVI</t>
  </si>
  <si>
    <r>
      <t xml:space="preserve">beton </t>
    </r>
    <r>
      <rPr>
        <b/>
        <sz val="10"/>
        <rFont val="Arial"/>
        <family val="2"/>
        <charset val="238"/>
      </rPr>
      <t xml:space="preserve">C25/30 </t>
    </r>
  </si>
  <si>
    <r>
      <t>beton</t>
    </r>
    <r>
      <rPr>
        <b/>
        <sz val="10"/>
        <rFont val="Arial"/>
        <family val="2"/>
        <charset val="238"/>
      </rPr>
      <t xml:space="preserve"> C25/30</t>
    </r>
  </si>
  <si>
    <t>jed. cijena</t>
  </si>
  <si>
    <r>
      <rPr>
        <b/>
        <sz val="10"/>
        <rFont val="Arial"/>
        <family val="2"/>
        <charset val="238"/>
      </rPr>
      <t>Betoniranje vanjskih jednokrakih AB stepenica i pripadnih podesta</t>
    </r>
    <r>
      <rPr>
        <sz val="10"/>
        <rFont val="Arial"/>
        <family val="2"/>
        <charset val="238"/>
      </rPr>
      <t xml:space="preserve"> u oplati prema statičkom proračunu i nacrtima. Cijena uključuje dobavu i ugradnju svog potrebnog materijala do potpune gotovosti. </t>
    </r>
  </si>
  <si>
    <t>parket</t>
  </si>
  <si>
    <t>kutne letvice</t>
  </si>
  <si>
    <r>
      <t>m</t>
    </r>
    <r>
      <rPr>
        <vertAlign val="superscript"/>
        <sz val="10"/>
        <rFont val="Arial"/>
        <family val="2"/>
        <charset val="238"/>
      </rPr>
      <t>1</t>
    </r>
  </si>
  <si>
    <t>Žbukanje se izvodi na dobro očišćenoj, otprašenoj i vodom ispranoj površini. Radove na žbukanju izvoditi samo u povoljnim vremenskim uvjetima, uz odgovarajuće osiguranje i zaštitu svježe ožbukanih površina od štetnog utjecaja djelovanja sunca i oborina. Prije samog pristupanja žbukanju, površinu zida potrebno je dobro navlažiti.  Žbukanja se moraju izvoditi stručno i naročito precizno, dok rubovi žbukanih elemenata moraju bez odstupanja pratiti zadanu formu (horizontala, vertikala, kosina, krivulja).</t>
  </si>
  <si>
    <t>zidovi</t>
  </si>
  <si>
    <t>stropovi</t>
  </si>
  <si>
    <t>kom</t>
  </si>
  <si>
    <t>obzidavanje blok opekom d=10 cm</t>
  </si>
  <si>
    <t>6.1.</t>
  </si>
  <si>
    <t>6.2.</t>
  </si>
  <si>
    <t>7.1.</t>
  </si>
  <si>
    <t>7.2.</t>
  </si>
  <si>
    <t>U jediničnim cijenama uračunati su svi radovi dotične stavke, s dobavom potrebnog materijala, istovarom
i uskladištenjem na gradilištu, sav horizontalni i vertikalni transport do radnog mjesta, kao i sva potrebna
radna snaga i režijski troškovi,te uklanjanje svih otpada nakon izvedenih radova.</t>
  </si>
  <si>
    <t>Prije početka izvedbe izvoditelj je dužan dostaviti projektantu na pregled i izbor uzorke materijala i tek po izboru i odobrenju projektanta može otpočeti s radovima. Ukoliko se ugrade materijali koje projektant nije odobrio ili u neodgovarajućoj kvaliteti radovi će se morati ponoviti u traženoj kvaliteti i izboru uz prethodno uklanjanje neispravnih radova. Izrada detalja neće se posebno platiti već predstavlja trošak i obvezu izvoditelja.
Prilikom izvođenja radova mora se izvoditelj striktno pridržavati usvojenih i prihvaćenih materijala i ovjerenih detalja.
Izvoditelj je obvezan dobaviti: uputu za izvođenje radova, ugradbu i/ili montažu i/ili postavljanje; uvjete pripreme i stanja podloge; uputu za uporabu i rad; način održavanja u uporabi.</t>
  </si>
  <si>
    <t>Izvoditelj treba kvalitetu ugrađenih materijala i stručnost radnika dokazati odgovarajućim certifikatima izdanim od strane za to ovlaštene institucije. Za materijale koji nisu standardni treba izvoditelj osigurati uzorke i dati ih na ispitivanje.</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</si>
  <si>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sva osiguranja radova i materijala; sva eventualna otežanja rada, kao i sve ostalo posebno specificirano u opisu stavke troškovnika; sve potrebne zaštitne konstrukcije, kao i sve drugo predviđeno mjerama zaštite na radu i pravilima struke.</t>
  </si>
  <si>
    <t>sokl</t>
  </si>
  <si>
    <t>zidne keramičke pločice (visina do 210 cm)</t>
  </si>
  <si>
    <t>gazišta i podesti</t>
  </si>
  <si>
    <t>čela</t>
  </si>
  <si>
    <r>
      <t>m</t>
    </r>
    <r>
      <rPr>
        <vertAlign val="superscript"/>
        <sz val="10"/>
        <rFont val="Arial"/>
        <family val="2"/>
      </rPr>
      <t>1</t>
    </r>
  </si>
  <si>
    <t>6.3.</t>
  </si>
  <si>
    <t>6.4.</t>
  </si>
  <si>
    <t>Sve radove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izolacija koji su opisani ovim troškovnikom, te s tehnologijom i specifičnostima izvođenja radova odabranog proizvođača. Sve eventualne nejasnoće i nedoumice izvoditelj je dužan dogovoriti i uskladiti s projektantom prije davanja ponude. Nikakvi naknadni zahtjevi neće se moći uvažiti.
Izvoditelj je obvezan dobaviti: uputu za izvođenje radova, ugradbu i/ili montažu i/ili postavljanje; uvjete pripreme i stanja podloge; uputu za uporabu i rad; način održavanja u uporabi.
Prilikom izvođenja radova mora se izvoditelj striktno pridržavati usvojenih i od strane projektanta ovjerenih detalja.
Izvoditelj je obvezan dobaviti: uputu za izvođenje radova, ugradbu i/ili montažu i/ili postavljanje; uvjete pripreme i stanja podloge; uputu za uporabu i rad; način održavanja u uporabi.</t>
  </si>
  <si>
    <t>- MW d= 10 cm</t>
  </si>
  <si>
    <t>- polimerna žbuka 0,5 cm</t>
  </si>
  <si>
    <r>
      <rPr>
        <b/>
        <sz val="10"/>
        <rFont val="Arial"/>
        <family val="2"/>
        <charset val="238"/>
      </rPr>
      <t>Doprema, montaža, demontaža i otprema cijevne skele oko objekta</t>
    </r>
    <r>
      <rPr>
        <sz val="10"/>
        <rFont val="Arial"/>
        <family val="2"/>
        <charset val="238"/>
      </rPr>
      <t>.Skela se izvodi prema pravilima struke i važećim mjerama zaštite na radu i osiguranjima. Uključivo radne platforme i zaštitne ograde, sva potrebna ukrućenja i sidrenja. Cijenom je obuhvaćena i dobava, te prema potrebi postava na vanjski dio skele jutenih ili plastificiranih traka kao zaštita od pada predmeta, prašenja, brzog isušivanja insolacijom i sl. Trake se međusobno vežu i fiksiraju na nosivu konstrukciju skele.Prije izvedbe skele izvođač je dužan izraditi projekt i statički proračun skele sa svim mjerama zaštite radnika.Obračun po m2 - vanjskom rubu skele i visini rukohvata iznad zadnje podnice.</t>
    </r>
  </si>
  <si>
    <t>fasadna skela - montaža i demontaža</t>
  </si>
  <si>
    <r>
      <rPr>
        <b/>
        <sz val="10"/>
        <rFont val="Arial"/>
        <family val="2"/>
        <charset val="238"/>
      </rPr>
      <t>Betoniranje AB greda</t>
    </r>
    <r>
      <rPr>
        <sz val="10"/>
        <rFont val="Arial"/>
        <family val="2"/>
        <charset val="238"/>
      </rPr>
      <t xml:space="preserve"> u glatkoj oplati prema statičkom proračunu i nacrtima. Cijena uključuje dobavu i ugradnju svog potrebnog materijala do potpune gotovosti.</t>
    </r>
  </si>
  <si>
    <t>obloga vodokotlića</t>
  </si>
  <si>
    <r>
      <t xml:space="preserve">obloga instalacijskih kanala </t>
    </r>
    <r>
      <rPr>
        <b/>
        <sz val="10"/>
        <rFont val="Arial"/>
        <family val="2"/>
        <charset val="238"/>
      </rPr>
      <t>W635</t>
    </r>
  </si>
  <si>
    <r>
      <t xml:space="preserve">spušteni strop </t>
    </r>
    <r>
      <rPr>
        <b/>
        <sz val="10"/>
        <rFont val="Arial"/>
        <family val="2"/>
        <charset val="238"/>
      </rPr>
      <t>D112 - 1x12,5 (A)</t>
    </r>
  </si>
  <si>
    <r>
      <t xml:space="preserve">gk zid </t>
    </r>
    <r>
      <rPr>
        <b/>
        <sz val="10"/>
        <rFont val="Arial"/>
        <family val="2"/>
        <charset val="238"/>
      </rPr>
      <t>W112 - (A)</t>
    </r>
  </si>
  <si>
    <r>
      <t xml:space="preserve">gk zid </t>
    </r>
    <r>
      <rPr>
        <b/>
        <sz val="10"/>
        <rFont val="Arial"/>
        <family val="2"/>
        <charset val="238"/>
      </rPr>
      <t>W112 - (H2)</t>
    </r>
  </si>
  <si>
    <r>
      <t xml:space="preserve">gk zid </t>
    </r>
    <r>
      <rPr>
        <b/>
        <sz val="10"/>
        <rFont val="Arial"/>
        <family val="2"/>
        <charset val="238"/>
      </rPr>
      <t>W112 - (A/H2)</t>
    </r>
  </si>
  <si>
    <t>12.1.</t>
  </si>
  <si>
    <r>
      <rPr>
        <b/>
        <sz val="10"/>
        <rFont val="Arial"/>
        <family val="2"/>
        <charset val="238"/>
      </rPr>
      <t xml:space="preserve">Dobava materijala i izrada gipskartonske obloge instalacijskih kanala GK Diamant pločama </t>
    </r>
    <r>
      <rPr>
        <sz val="10"/>
        <rFont val="Arial"/>
        <family val="2"/>
        <charset val="238"/>
      </rPr>
      <t>(DFH2IR) ukupne debljine 13 cm, sustav kao Knauf W635. Unutarnja strana jednostruka obloga od GK ploča (DF) debljine 12,5 mm, vanjska strana dvostruka obloga od GK Diamant (DFH2IR) ploča debljine 15 mm, potkonstrukcija CW/UW 100 te mineralna vuna 80 mm prema HRN EN 13162. EI90
Dobava komplet materijala i izrada obloge zida uključivo nosive profile za sanitarnu opremu unutar zida, obračun po m² izvedene obloge zidova.</t>
    </r>
  </si>
  <si>
    <t>vlagootporna H2 ploča</t>
  </si>
  <si>
    <t>protupožarna DF ploča</t>
  </si>
  <si>
    <t>diamant DFH2IR ploča</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</si>
  <si>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</si>
  <si>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Obrada spojeva i površina klase kvalitete K2 - standardna kvaliteta (uključuje obradu spojeva gips ploča, umetanje bandažne trake, zaglađivanje vidljivih dijelova pričvrsnih sredstava te dodatno zaglađivanje kojim se izrađuje prelazak iz područja spoja na površinu ploče).
Radove treba izvesti u svezi odredbi HRN DIN 18183-1 (pregradni zidovi) i HRN EN 520 (gips-kartonske ploče). Radove u svezi ovješenih stropova treba izvesti u svezi odredbi HRN EN 13964.</t>
  </si>
  <si>
    <t>bitumenska traka, uložak stakleni voal</t>
  </si>
  <si>
    <t>izolacija podova</t>
  </si>
  <si>
    <t>izolacija zidova</t>
  </si>
  <si>
    <t>Radove obračunati prema Tehničkim uvjetima za soboslikarsko-ličilačke radove, izdanje Stručna biblioteka Saveza arhitekata Hrvatske.
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</si>
  <si>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AB zidovi i stupovi</t>
  </si>
  <si>
    <t>AB stropovi i grede</t>
  </si>
  <si>
    <r>
      <rPr>
        <b/>
        <sz val="10"/>
        <rFont val="Arial"/>
        <family val="2"/>
        <charset val="238"/>
      </rPr>
      <t>Bojanje gips-kartonskog stropa disperzivnom bojom</t>
    </r>
    <r>
      <rPr>
        <sz val="10"/>
        <rFont val="Arial"/>
        <family val="2"/>
        <charset val="238"/>
      </rPr>
      <t>. Boja prema odabiru projektanta/inv.. U cijenu su uključene sve potrebne predradnje. Eventualno potrebna skela je uključena u cijenu. Obračun po m2.</t>
    </r>
  </si>
  <si>
    <t>GK stropovi</t>
  </si>
  <si>
    <t>Izvoditelj je obvezan dobaviti: uputu za izvođenje radova, ugradbu i/ili montažu i/ili postavljanje; uvjete pripreme i stanja podloge; uputu za uporabu i rad; način održavanja u uporabi.
Izvoditelj treba kvalitetu ugrađenih materijala i stručnost radnika dokazati odgovarajućim certifikatima izdanim od strane za to ovlaštene institucije. Za materijale koji nisu standardni treba izvoditelj osigurati uzorke i dati ih na ispitivanje.</t>
  </si>
  <si>
    <t>limeni opšav r.š. 60 cm</t>
  </si>
  <si>
    <r>
      <rPr>
        <b/>
        <sz val="10"/>
        <rFont val="Arial"/>
        <family val="2"/>
        <charset val="238"/>
      </rPr>
      <t>Dobava, izrada i ugradnja limenih opšava od cinkotit lima</t>
    </r>
    <r>
      <rPr>
        <sz val="10"/>
        <rFont val="Arial"/>
        <family val="2"/>
        <charset val="238"/>
      </rPr>
      <t xml:space="preserve"> razvijene širine cca 50cm na istakama, parapetima i atikama. U cijenu obračunata sva pričvrsna sredstva. Obračun po m' izvedenog opšava.</t>
    </r>
  </si>
  <si>
    <t xml:space="preserve">Predviđena količina betona </t>
  </si>
  <si>
    <t>presjek 19x3 cm</t>
  </si>
  <si>
    <r>
      <rPr>
        <b/>
        <sz val="10"/>
        <rFont val="Arial"/>
        <family val="2"/>
        <charset val="238"/>
      </rPr>
      <t xml:space="preserve">Ručno planiranje dna širokog iskopa i sl. na točnost od ± 3 cm </t>
    </r>
    <r>
      <rPr>
        <sz val="10"/>
        <rFont val="Arial"/>
        <family val="2"/>
        <charset val="238"/>
      </rPr>
      <t>u odnosu na kote iz projekta, a prije izvedbe podložnog betona. Sve neravnine ukloniti, odnosno dopuniti materijalom iz iskopa. Uključivo izvedbu i uređenje poksa iskopa šahtova, propadališta dizala i kanala te odvoz viška materijala na privremeni gradilišni deponij. Obračun po m2 planirane površine iskopa</t>
    </r>
  </si>
  <si>
    <t>4.4.</t>
  </si>
  <si>
    <t>4.5.</t>
  </si>
  <si>
    <t>4.6.</t>
  </si>
  <si>
    <t>4.7.</t>
  </si>
  <si>
    <t>cementni estrih d= 4-5 cm</t>
  </si>
  <si>
    <t xml:space="preserve">opločnici na tipskim podmetačima </t>
  </si>
  <si>
    <r>
      <rPr>
        <b/>
        <sz val="10"/>
        <rFont val="Arial"/>
        <family val="2"/>
        <charset val="238"/>
      </rPr>
      <t>Dobava materijala i izrada horizontalne hidroizolacije ravnih krovova.</t>
    </r>
    <r>
      <rPr>
        <sz val="10"/>
        <rFont val="Arial"/>
        <family val="2"/>
        <charset val="238"/>
      </rPr>
      <t xml:space="preserve">  Izvodi se kao jednoslojna hidroizolacijska membrana od TPO-a, reflektirajuće bijele boje, otporna na UV zrake i mikroorganizme, leteći plamen i žareću toplinu. Membrana je punoplošno armirana gustim poliesterskim pletivom, potpuno homogene i trajno stabilne strukture cijelog presjeka od TPO-a, bez mogućnosti delaminacije membrane. 
Trake membrane se polažu na sloj toplinske izolacije i ugrađuju u sustavu pričvršćenih membrana.</t>
    </r>
  </si>
  <si>
    <t>TPO folija</t>
  </si>
  <si>
    <r>
      <t>Obračun po m</t>
    </r>
    <r>
      <rPr>
        <vertAlign val="superscript"/>
        <sz val="10"/>
        <rFont val="Arial"/>
        <family val="2"/>
        <charset val="238"/>
      </rPr>
      <t>2</t>
    </r>
  </si>
  <si>
    <t>Prije izvedbe radova izvoditelj je dužan izraditi i projektantu predočiti detalje izvedbe i radioničke nacrte kao i materijale za izvedbu. Tek nakon izbora i odobrenja projektanta može se otpočeti rad u odabranoj kvaliteti.
Prilikom izvođenja radova mora se izvoditelj striktno pridržavati i od strane projektanta prihvaćenih materijala i detalja.
Za svu stolariju vrijedi da u jediničnoj cijeni treba obuhvatiti:
- sve materijale koji se ugrađuju i koriste (osnovne i pomoćne materijale);
- sav potrebna rad (osnovni i pomoćni) na izvedbi radova do potpune gotovosti i funkcionalnosti istih;
- sve transporte i prijenose do i na gradilištu sve do mjesta ugradbe;
- sva potrebna uskladištenja i zaštite, sve potrebne zaštitne konstrukcije i skele, kao i sve drugo predviđeno mjerama zaštite na radu i pravilima struke;
- ugradbu stolarije;
- završnu obradu;
- svo ostakljenje u kvaliteti i kvantiteti po opisu;
- sva brtvljenje i kitanje reški i dilatacija između pojedinih elemenata same stavke i između stavke i susjednih ploha;</t>
  </si>
  <si>
    <t>- slijepe dovratnike/doprozornike za ugradbu;
- završno obrađene finalne dovratnike;
- sve pokrovne, kutne i kitne letvice i profile;
- drvene čepove za pokrivanje glava svih upuštenih vijaka;
- sav okov po izboru projektanta uključivo brave i ključeve, ručke ili prečke te odbojnike ili zaustavljače vratnih krila;
- ugrađene podne odbojnike za sva vratna krila;
- bušenje rupa u zidovima od opeke ili betona, dobavu i ugradbu pl. tipla za sidrene vijke kao i ugradbu vijaka, po potrebi zapunjavanje rupa za sidra ili oštećenja od ugradbe cem. mortom 1:1;
- završnu obradu vidljivih ploha po opisu iz troškovnika;
- sve troškove ispitivanja do dobivanja certifikata, uključivo sve potrebne materijale, uzorke i radnje vezane uz isto.</t>
  </si>
  <si>
    <t>Dimenzije vratnih krila moraju odgovarati odredbama HRN-a D.E1.020. Materijal za izradu stolarije mora odgovarati odredbama HRN-a D.E1.011.
 Sva unutarnja stolarija ugrađuje se u suhoj ugradbi. Izrada, doprema i ugradba dovratnika za suhu ugradbu mora biti uključena u jediničnu cijenu stavke. U cijeni treba uključiti i dobavu i montažu te okivanje i pripasivanje finalnih dovratnika i krila, kao i pripasivanje kutnih i pokrovnih letvica, uključivo spajanje elemenata fasadnih stijena u cjelinu i pokrivanje spojeva odgovarajućim letvicama ili profilima, gdje su potrebne bez obzira ako nisu navedeni opisom stavke troškovnika.</t>
  </si>
  <si>
    <r>
      <rPr>
        <b/>
        <sz val="9"/>
        <rFont val="Arial"/>
        <family val="2"/>
        <charset val="238"/>
      </rPr>
      <t xml:space="preserve">NAPOMENA: </t>
    </r>
    <r>
      <rPr>
        <sz val="9"/>
        <rFont val="Arial"/>
        <family val="2"/>
        <charset val="238"/>
      </rPr>
      <t>Izvedba unutarnje drvene stolarije sukladno Projektu građevinske fizike i zaštite od buke i detaljnim ovjerenim shemama stolarije (razina zaštite od buke, ostakljenje, klasa, vrsta i dimenzija drvene građe, vrsta dovratnika, završna obrada furnir/lakirano, opis okova, panti vrsta i broj, način otvaranja, rešetka, hidraulični zatvarač/pumpa, brava s ključem/ elektro brava /magnetna kartica, kvaka ili kugla...). Gotove stavke moraju udovoljavati traženim uvjetima iz projektne dokumentacije.</t>
    </r>
  </si>
  <si>
    <t>dimenzija 80x210 cm</t>
  </si>
  <si>
    <t>dimenzija 90x210 cm</t>
  </si>
  <si>
    <t>dimenzija 70x210 cm</t>
  </si>
  <si>
    <t>Prije izvedbe radova izvoditelj je dužan izraditi i predočiti detalje izvedbe i radioničke nacrte kao i materijale za izvedbu na ovjeru projektantu. Tek nakon izbora i odobrenja može se otpočeti rad u odabranoj kvaliteti.
Prilikom izvođenja radova mora se izvoditelj striktno pridržavati prihvaćenih materijala i detalja, te zadovoljiti Tehnički propis za prozore i vrata NN 69/06.
Za svu bravariju vrijedi da u jediničnoj cijeni treba obuhvatiti:
- sve materijale koji se ugrađuju i koriste (osnovne i pomoćne materijale);
- sav potrebna rad (osnovni i pomoćni) na izvedbi radova do potpune gotovosti i funkcionalnosti istih;
- sve transporte i prijenose do i na gradilištu sve do mjesta ugradbe;
- sva potrebna uskladištenja i zaštite, sve potrebne zaštitne konstrukcije i skele, kao i sve drugo predviđeno mjerama zaštite na radu i pravilima struke;
- ugradbu bravarije;
- sva brtvljenje i kitanje reški i dilatacija između pojedinih elemenata same stavke i između stavke i susjednih ploha;
- sva sidra i sidrene detalje i profile;</t>
  </si>
  <si>
    <t>- bušenje rupa u zidovima od opeke ili betona, dobavu i ugradbu pl. tipla za sidrene vijke kao i ugradbu vijaka, po potrebi zapunjavanje rupa za sidra ili oštećenja od ugradbe cem. mortom 1:1;
- završnu obradu vidljivih ploha po opisu iz troškovnika;
- sve troškove ispitivanja do dobivanja certifikata, uključivo sve potrebne materijale, uzorke i radnje vezane uz isto.
Izvoditelj treba kvalitetu ugrađenih materijala i stručnost radnika dokazati odgovarajućim certifikatima izdanim od strane za to ovlaštene institucije. Za materijale za koje izvoditelj nema certifikat a isti se traži treba izvoditelj osigurati uzorke i dati ih na ispitivanje. Sve troškove za dobivanje certifikata predstavljaju obvezu i trošak izvoditelja.</t>
  </si>
  <si>
    <t>Aluminij se izvodi iz raznih alu profila i limova.
Svi vijci i spojna sredstva moraju obavezno biti od nerđajućeg materijala, izvedeno u antikorozivnoj izvedbi.
Sve stavke obuhvaćaju:
- mehanizam za otvaranje vrata
- okov  za funkcionalnu upotrebu
- bravu s cilindrom
- elementi teh. zaštite
- priprema za ugradnju magnetskog kontakta
- oznaku s obje strane vrata
- pumpu za samozatvaranje
- završnu obradu metalnih dijelova
a sve prema odgovarajućoj shemi</t>
  </si>
  <si>
    <t xml:space="preserve">Izrada, dostava i montaža ograde na prozorima, izrađene od horizontalnih i vertikalnih čeličnih profila tako da zadovoljavaju projektom propisane zahtjeve, a sve prema ovjerenim shemama bravarije. </t>
  </si>
  <si>
    <r>
      <t>spušteni strop</t>
    </r>
    <r>
      <rPr>
        <b/>
        <sz val="10"/>
        <rFont val="Arial"/>
        <family val="2"/>
        <charset val="238"/>
      </rPr>
      <t xml:space="preserve"> D112 - 1x12,5 (H2)</t>
    </r>
  </si>
  <si>
    <r>
      <rPr>
        <b/>
        <sz val="10"/>
        <rFont val="Arial"/>
        <family val="2"/>
        <charset val="238"/>
      </rPr>
      <t>Dobava materijala i izrada obloge ugradbenih vodokotlića.</t>
    </r>
    <r>
      <rPr>
        <sz val="10"/>
        <rFont val="Arial"/>
        <family val="2"/>
        <charset val="238"/>
      </rPr>
      <t xml:space="preserve"> Jednostruka obloga od GK impregniranih ploča H2 debljine 12,5 mm, na metalnoj potkonstrukciji d=50 mm. Obrada spojeva ploča u kvaliteti K2 - Uniflott imregnirani. Prije postave keramike površinu iz GK ploča potrebno je premazati s Knauf Tiefengrung premazom. Obračun po m</t>
    </r>
    <r>
      <rPr>
        <vertAlign val="superscript"/>
        <sz val="10"/>
        <rFont val="Arial"/>
        <family val="2"/>
        <charset val="238"/>
      </rPr>
      <t>2</t>
    </r>
    <r>
      <rPr>
        <sz val="10"/>
        <rFont val="Arial"/>
        <family val="2"/>
        <charset val="238"/>
      </rPr>
      <t xml:space="preserve"> izvedene obloge vodokotlića sa svim radom i potkonstrukcijom.</t>
    </r>
  </si>
  <si>
    <t>pripremni i zemljani radovi</t>
  </si>
  <si>
    <r>
      <t>Obračun po m</t>
    </r>
    <r>
      <rPr>
        <vertAlign val="superscript"/>
        <sz val="10"/>
        <rFont val="Arial"/>
        <family val="2"/>
        <charset val="238"/>
      </rPr>
      <t>3</t>
    </r>
    <r>
      <rPr>
        <sz val="10"/>
        <rFont val="Arial"/>
        <family val="2"/>
        <charset val="238"/>
      </rPr>
      <t xml:space="preserve">
</t>
    </r>
  </si>
  <si>
    <t>zemljani nasip</t>
  </si>
  <si>
    <t>betonski i ab radovi</t>
  </si>
  <si>
    <t>beton C30/37</t>
  </si>
  <si>
    <r>
      <t>obračun po m</t>
    </r>
    <r>
      <rPr>
        <vertAlign val="superscript"/>
        <sz val="10"/>
        <rFont val="Arial"/>
        <family val="2"/>
        <charset val="238"/>
      </rPr>
      <t>2</t>
    </r>
  </si>
  <si>
    <t>kolnička konstrukcija</t>
  </si>
  <si>
    <r>
      <t>Obračun po m</t>
    </r>
    <r>
      <rPr>
        <vertAlign val="superscript"/>
        <sz val="10"/>
        <rFont val="Arial"/>
        <family val="2"/>
        <charset val="238"/>
      </rPr>
      <t>1</t>
    </r>
  </si>
  <si>
    <t>Svi vijci i ostali dijelovi spajanja moraju biti izvedeni od nerđajućeg čelika, aluminija ili nekog drugog antikorozivnog materijala. 
Konstrukcija mora biti dimenzionirana tako da sigurno prihvaća opterećenje i funkcije elemenata. Sve nosive dijelove statički provjeriti.</t>
  </si>
  <si>
    <r>
      <t xml:space="preserve">okomiti limeni oluk </t>
    </r>
    <r>
      <rPr>
        <sz val="10"/>
        <rFont val="Symbol"/>
        <family val="1"/>
        <charset val="2"/>
      </rPr>
      <t xml:space="preserve">f </t>
    </r>
    <r>
      <rPr>
        <sz val="10"/>
        <rFont val="Arial"/>
        <family val="2"/>
        <charset val="238"/>
      </rPr>
      <t>160</t>
    </r>
  </si>
  <si>
    <t>vodokotlić 20x30x15 cm</t>
  </si>
  <si>
    <r>
      <rPr>
        <b/>
        <sz val="10"/>
        <rFont val="Arial"/>
        <family val="2"/>
        <charset val="238"/>
      </rPr>
      <t>Dobava, izrada i ugradnja vodokotlića za odvod oborinske vode</t>
    </r>
    <r>
      <rPr>
        <sz val="10"/>
        <rFont val="Arial"/>
        <family val="2"/>
        <charset val="238"/>
      </rPr>
      <t xml:space="preserve"> veličine  20x30x15 cm od cinkotit lima. U cijenu obračunata sva pričvrsna sredstva. Obračun po komadu ugrađenog vodokotlića.</t>
    </r>
  </si>
  <si>
    <t>krovni prodori</t>
  </si>
  <si>
    <t>Prije početka radova obvezno pregledati teren, geomehanički elaborat  i konzultirati tehničku službu korisnika u pogledu postojećih vidljivih i nevidljivih instalacija, podzemnih građevina, energetskih vodova i sl.
Potrebno je odrediti i označiti područja gdje će se raditi posebno pažljivo, kako se ne bi ugrozili zdravlje, životi i imovina.</t>
  </si>
  <si>
    <t xml:space="preserve">U cijeni svake stavke uključeno je :
- razupiranje i osiguranje stranica iskopa, po potrebi, a sukladno propisima
- potrebne skele i platforme
- crpljenje oborinske vode iz iskopa (po potrebi)
- crpljenje podzemne vode iz iskopa (po potrebi)
- izradu i osiguranje transportnih cesta i puteva na gradilištu
- prijenos iskopanog materijala na gradilišno odlagalište ili na mjesto određeno za utovar u kamione za prijevoz na gradsku planirku
</t>
  </si>
  <si>
    <t xml:space="preserve">Obračun iskopa nasipa i transporta vršiti u sraslom stanju.
Stalna geodetska kontrola u svim fazama iskopa </t>
  </si>
  <si>
    <r>
      <rPr>
        <b/>
        <sz val="10"/>
        <rFont val="Arial"/>
        <family val="2"/>
        <charset val="238"/>
      </rPr>
      <t xml:space="preserve">Dobava i polaganje gotovih drvenih kutnih letvica, </t>
    </r>
    <r>
      <rPr>
        <sz val="10"/>
        <rFont val="Arial"/>
        <family val="2"/>
        <charset val="238"/>
      </rPr>
      <t>pravokutnog presjeka (gornja ploha zaobljena, ravna ili sl, prema zahtjevu i izboru projektanta), uz podove od parketa i sl. Gotove kutne letvice obrađene kao parket. Postava bez vidljivih učvršćenja (u kit za montažu ili sl.), sa skrivenim spojevima (""na gerung""), do poda. Uključivo kitanje spoja sa zidom akrilom i sl. Obračun po m1 kompletne izvedbe, do potpune gotovosti i pune funkcionalnosti.
Obračun po m1 kompletne izvedbe, do potpune gotovosti i pune funkcionalnosti.
a) ravni sokl</t>
    </r>
  </si>
  <si>
    <t>U jediničnim cijenama uračunati su svi radovi dotične stavke, s dobavom potrebnog materijala, istovarom i uskladištenjem na gradilištu, sav horizontalni i vertikalni transport do radnog mjesta, kao i sva potrebna radna snaga i režijski troškovi,te uklanjanje svih otpada nakon izvedenih radova.</t>
  </si>
  <si>
    <r>
      <rPr>
        <b/>
        <sz val="10"/>
        <rFont val="Arial"/>
        <family val="2"/>
        <charset val="238"/>
      </rPr>
      <t>L inox profili na reškama podova</t>
    </r>
    <r>
      <rPr>
        <sz val="10"/>
        <rFont val="Arial"/>
        <family val="2"/>
        <charset val="238"/>
      </rPr>
      <t xml:space="preserve"> i spojevima različitih vrsta podova u istoj razini ili većih površina istog poda.
Polažu se u sloj građevinskog ljepila. Profili se režu na određenu dužinu na mjestu polaganja.</t>
    </r>
  </si>
  <si>
    <r>
      <t>Obračun po m</t>
    </r>
    <r>
      <rPr>
        <vertAlign val="superscript"/>
        <sz val="10"/>
        <rFont val="Arial"/>
        <family val="2"/>
        <charset val="238"/>
      </rPr>
      <t>1</t>
    </r>
    <r>
      <rPr>
        <sz val="10"/>
        <rFont val="Arial"/>
        <family val="2"/>
        <charset val="238"/>
      </rPr>
      <t xml:space="preserve"> ugrađenog profila.</t>
    </r>
  </si>
  <si>
    <r>
      <t>Obračun po m</t>
    </r>
    <r>
      <rPr>
        <vertAlign val="superscript"/>
        <sz val="10"/>
        <rFont val="Arial"/>
        <family val="2"/>
        <charset val="238"/>
      </rPr>
      <t xml:space="preserve">1 </t>
    </r>
    <r>
      <rPr>
        <sz val="10"/>
        <rFont val="Arial"/>
        <family val="2"/>
        <charset val="238"/>
      </rPr>
      <t>ugrađenog profila.</t>
    </r>
  </si>
  <si>
    <r>
      <rPr>
        <b/>
        <sz val="10"/>
        <rFont val="Arial"/>
        <family val="2"/>
        <charset val="238"/>
      </rPr>
      <t>Inox profil za vanjske kutove u sanitarnim čvorovima</t>
    </r>
    <r>
      <rPr>
        <sz val="10"/>
        <rFont val="Arial"/>
        <family val="2"/>
        <charset val="238"/>
      </rPr>
      <t>. Polažu se u sloj građevinskog ljepila. Prifili se režu na određenu dužinu na mjestu polaganja.</t>
    </r>
  </si>
  <si>
    <r>
      <rPr>
        <b/>
        <sz val="10"/>
        <rFont val="Arial"/>
        <family val="2"/>
        <charset val="238"/>
      </rPr>
      <t>Hidroizolacija balkona, terasa i lođa.</t>
    </r>
    <r>
      <rPr>
        <sz val="10"/>
        <rFont val="Arial"/>
        <family val="2"/>
        <charset val="238"/>
      </rPr>
      <t xml:space="preserve"> Dobava i postava polimercementnog hidroizolacijskog premaza. U cijenu su obračunati svi pripremni radovi, preklopi, linijske obrade i sl. Obračun po m2 izolirane površine. </t>
    </r>
  </si>
  <si>
    <t>Sve radove izvoditi sukladno Tehničkom propisu za prozore i vrata (NN 69/06), te protupožarnim elaboratom.
Ugrađeni građevni proizvodi moraju udovoljavati zahtjevima Zakona o građevnim proizvodima (NN 76/13, 30/14, 130/17); Tehničkom propisu o građevnim proizvodima (NN 33/10, 87/10, 146/10, 81/11,100/11-ispravak, 130/12, 81/13, 136/14, 119/15) i njima povezanim propisima.
Prije izrade stavaka izvoditelj mora, prema shemama iz tehničke dokumentacije, izraditi radioničke nacrte i detalje, te na njih dobiti suglasnost projektanta. Prije izrade protupožarnih stavaka, kao i ustakljenja, obvezno provjeriti sve mjere i količine u naravi.
Izvoditelj je uz ponudu obvezan dati izjavu o osiguranju trajnog servisa za kompletan proizvod i sve njegove komponente (profile, okov, ostakljenje, brtvljenje i sl.)</t>
  </si>
  <si>
    <t>Protupožarne stijene, unutarnje prozore i vrata čelične i aluminijske izvedbe valja nuditi prema razrađenim sustavima specijaliziranih proizvođača, kao proizvod Metalind ASSA ABLOY ili jednakovrijedno poštujući u svemu pozitivne tehničke propise, uputstva proizvođača, zahtjeve ovog opisa i opise stavaka troškovnika.
Na izabrani tip i proizvođača protupožarnih vrata i stijena treba obvezno dobiti suglasnost projektanta.</t>
  </si>
  <si>
    <t>Stavke se ugrađuju unutar zgrade. Stavke se ugrađuju u ožbukane zidane i betonske stijene i gipskartonske stijene, otporne na požar 30,60 ili 90 min. Stavke se ugrađuju naknadno u priređene slijepe okvire. Stavke su izrađene iz čeličnih profila s više komora, s prekinutim ili neprekinutim toplinskim mostom i gumenom brtvom (prema opisu u stavci). Prema opisu u pojedinoj stavci, stavke se rade u čeličnoj ili aluminijskoj izvedbi. Svi vidljivi profili i limovi su obrađeni termolakiranjem dvokomponentnim poliuretanskim lakom u boji po izboru projektanta</t>
  </si>
  <si>
    <t xml:space="preserve">* Okov :
Sav potreban okov i vijci iz nehrđajućeg sjajnog čelika, minimum 3 petlje po krilu, zasuni gore i dolje, cilindar brave, panik kvake i štitnici, rukohvati obostrano, uređaj za samozatvaranje na krilu ili u podu  i sl. su u protupožarnoj izvedbi.
* Ostakljenje:
U cijenu stavaka uključeno je i ostakljenje sigurnosnim protupožarnim staklom otpornim na požar prema opisu u pojedinoj stavci. Staklo je prozirno ili satinirano, već prema opisu u pojedinoj stavci
* Automatika :
Magnetski kontakti, upravljanje vratima, električne brave, sve prema opisu u pojedinoj stavki. </t>
  </si>
  <si>
    <t>* Cijena stavke uključuje :
- dobavu, izradu i ugradnju kompletne stavke
- sav okov iz nehrđajućeg metala po izboru projektanta
- sva ostakljenja
- svu automatiku
- sav osnovni, pomoćni, spojni, brtveni, izolacijski i pričvrsni materijal
- svi opšavi i pokrovne limene letvice
- sve potrebne pokretne skele i platforme</t>
  </si>
  <si>
    <t>2.1.</t>
  </si>
  <si>
    <t>2.2.</t>
  </si>
  <si>
    <t>2.3.</t>
  </si>
  <si>
    <t>2.4.</t>
  </si>
  <si>
    <t>2.5.</t>
  </si>
  <si>
    <t>Ugrađeni građevni proizvodi moraju udovoljavati zahtjevima Zakona o građevnim proizvodima (NN 76/13, 30/14, 130/17); Tehničkom propisu o građevnim proizvodima (NN 33/10, 87/10, 146/10, 81/11,100/11-ispravak, 130/12, 81/13, 136/14, 119/15) i njima povezanim propisima.</t>
  </si>
  <si>
    <t>Radove izvoditi prema EU i HR standardima.</t>
  </si>
  <si>
    <t>beton C16/20, XC0</t>
  </si>
  <si>
    <r>
      <t xml:space="preserve">Zamjenski nosivi sloj tla - nasip kamenim agregatom. </t>
    </r>
    <r>
      <rPr>
        <sz val="10"/>
        <rFont val="Arial"/>
        <family val="2"/>
        <charset val="238"/>
      </rPr>
      <t xml:space="preserve">Dolazi na mjestima gdje je nosivost prirodnog tla nedostatna (ispod Me=10 MPa). Nasipavanje se vrši u slojevima debljine 30 cm.  Frakcija nasipnog materijala treba biti od 0-64 mm uz potrebno nabijanje.
</t>
    </r>
    <r>
      <rPr>
        <b/>
        <sz val="10"/>
        <rFont val="Arial"/>
        <family val="2"/>
        <charset val="238"/>
      </rPr>
      <t>NAPOMENA:</t>
    </r>
    <r>
      <rPr>
        <sz val="10"/>
        <rFont val="Arial"/>
        <family val="2"/>
        <charset val="238"/>
      </rPr>
      <t xml:space="preserve"> Stavka je opcijska i izvodi se prema potrebi i stanju na gradilištu, prema odluci nadzornog inženjera i upisu u građevinski dnevnik. </t>
    </r>
  </si>
  <si>
    <r>
      <t>beton</t>
    </r>
    <r>
      <rPr>
        <b/>
        <sz val="10"/>
        <rFont val="Arial"/>
        <family val="2"/>
        <charset val="238"/>
      </rPr>
      <t xml:space="preserve"> C25/30; XC1</t>
    </r>
  </si>
  <si>
    <t xml:space="preserve">Predviđena količina zamjene tla. </t>
  </si>
  <si>
    <r>
      <rPr>
        <b/>
        <sz val="10"/>
        <rFont val="Arial"/>
        <family val="2"/>
        <charset val="238"/>
      </rPr>
      <t>Geodetska snimka izvedenog stanja.</t>
    </r>
    <r>
      <rPr>
        <sz val="10"/>
        <rFont val="Arial"/>
        <family val="2"/>
        <charset val="238"/>
      </rPr>
      <t xml:space="preserve"> Snimka izvedenog stanja obuhvaća sva geodetska mjerenja i radove kojima se podaci s terena nakon završenih radova formiraju kao elementi izvedenog stanja.
</t>
    </r>
  </si>
  <si>
    <t>U jediničnu cijenu betonskih i armiranobetonskih radova potrebno je uključiti sav potreban materijal i rad pri dobavi, izradi i ugradnji betona. Potrebno je predvidjeti sve transporte, zaštitu (njega svježeg betona) betonskih i AB konstrukcija od atmosferskih utjecaja, ugradba pomoću vibratora, korištenje skele i sl. Predvidjeti sva pomoćna sredstva potrebna za poduzimanje mjera zaštite na radu i drugih potrebnih mjera.
Obračun radova se vrši po m3(m2) ugrađenog betona, po kg ugrađene armature i po m2 postavljene oplate.  Detaljniji opis betonskih i armiračkih radova nalazi se u projektu (mapa 2 - proračun mehaničke otpornosti i stabilnosti). Jedinična cijena za AB radove obuhvaća izradu projekta betona, nabavu, pripremu i izradu armature, nabavu sastojaka i izradu betona, troškove ispitivanja betona, oplatu i radnu skelu, transport, ugradbu i njegu betona te eventualno krpanje i brušenje neravnina. U slučaju prelijevanja podzemnih ili oborinskih voda u građevnu jamu (prilikom betoniranja ali i prije betoniranja) izraditi prepumpne bunare te istu ispumpavati sve dok ugrađeni beton ne postigne zahtijevana svojstva očvrsnulog betona. Betoniranje može otpočeti po odobrenju nadzornog inženjera, a po pregledu ugrađene armature, podloga, skela i oplata. Pri ugradbi betona ne smije doći do segregacije betona ni do promjene drugih svojstva betona. Ugrađeni beton se njeguje prema pravilima struke, a posebnom pažnjom pravovremenom i dostatnom polijevanju vodom betonskih ploča.</t>
  </si>
  <si>
    <t>Napomena II - Šubere u prekidima betoniranja izvesti s rabic mrežom veličine oka 10 mm ili . Armatura u zonama prekida betoniranja mora biti neprekinuta. Prekidi u zidovima se izvode unutar srednje trećine duljine zida, a ne smiju se izvoditi unutar visokostijenih nosača, niti u blizini mjesta njihova oslanjanja. Armirano-betonske ploče mogu se izvoditi s prekidima samo uz suglasnost nadzornog inženjera i projektanta konstrukcije.</t>
  </si>
  <si>
    <t>Na sve radne fuge koji se nalaze u dodiru s hidroizolacijom, ugraditi brtvene trake  (kao PENTAFLEX KB), što se neće posebno iskazivati, pa to treba uračunati u cijenu obrade prekida i prodora.</t>
  </si>
  <si>
    <r>
      <rPr>
        <b/>
        <sz val="10"/>
        <rFont val="Arial"/>
        <family val="2"/>
        <charset val="238"/>
      </rPr>
      <t>Zapunjavanje eventualnih kaverni temeljnog tla (sanacija temeljnog tla i sl.)</t>
    </r>
    <r>
      <rPr>
        <sz val="10"/>
        <rFont val="Arial"/>
        <family val="2"/>
        <charset val="238"/>
      </rPr>
      <t xml:space="preserve"> suhom zemljo vlažnom betonskom smjesom C 12/15, prosječno velikog presjeka. Gornju površinu poravnati. 
</t>
    </r>
    <r>
      <rPr>
        <b/>
        <sz val="10"/>
        <rFont val="Arial"/>
        <family val="2"/>
        <charset val="238"/>
      </rPr>
      <t xml:space="preserve">NAPOMENA: </t>
    </r>
    <r>
      <rPr>
        <sz val="10"/>
        <rFont val="Arial"/>
        <family val="2"/>
        <charset val="238"/>
      </rPr>
      <t>Stavka je opcijska i izvodi se prema potrebi i stanju na gradilištu, prema odluci nadzornog inženjera i upisu u građevinski dnevnik. Obračun po m</t>
    </r>
    <r>
      <rPr>
        <vertAlign val="superscript"/>
        <sz val="10"/>
        <rFont val="Arial"/>
        <family val="2"/>
        <charset val="238"/>
      </rPr>
      <t>3</t>
    </r>
    <r>
      <rPr>
        <sz val="10"/>
        <rFont val="Arial"/>
        <family val="2"/>
        <charset val="238"/>
      </rPr>
      <t xml:space="preserve"> stvarno ugrađene smjese </t>
    </r>
  </si>
  <si>
    <r>
      <rPr>
        <b/>
        <sz val="10"/>
        <rFont val="Arial"/>
        <family val="2"/>
        <charset val="238"/>
      </rPr>
      <t>Sječa šiblja i stabala svih dimenzija</t>
    </r>
    <r>
      <rPr>
        <sz val="10"/>
        <rFont val="Arial"/>
        <family val="2"/>
        <charset val="238"/>
      </rPr>
      <t>, odsijecanje granja, rezanje stabala i debelih grana na dužine pogodne za prijevoz, vađenje korijenja, šiblja te starih panjeva i panjeva novo posječenih stabala, zatim odvoz svega na zbrinjavanje. Obuhvatiti i pronalaženje deponije, odvoz uklonjenog materijala na deponiju i sve troškove deponiranja.</t>
    </r>
  </si>
  <si>
    <t>Zidarski radovi izvode se isključivo prema opisima stavaka troškovnika, kao i prema važećim propisima za ovu vrstu radova. Kvaliteta svog upotrebljenog materijala mora odgovarati propisima i važećim normama, što izvoditelj mora dokazati potrebnim atestima. Izvoditelj je dužan osigurati i zaštititi sve dijelove građevine na kojima se ne izvode radovi, radi sprečavanja oštećenja tijekom izvedbe. Pojava svih oštećenja na dijelovima na kojima se ne izvode radovi ili koji su nastupili nepažnjom izvoditelja isti je dužan otkloniti o vlastitom trošku.</t>
  </si>
  <si>
    <t>U jediničnim cijenama uračunati su svi radovi dotične stavke, s dobavom potrebnog materijala i građevnih dijelova, s istovarom i uskladištenjem na gradilištu, sav horizontalni i vertikalni transport do
radnog mjesta, kao i sva potrebna radna snaga i režijski troškovi. Sve potrebne skele za građevinske radove moraju biti uračunate u jediničnim cijenama pojedinih stavaka troškovnika, te se ne smiju posebno obračunavati.  Zidanja se moraju izvesti stručno i kvalitetno, uz poštivanje općih i posebnih pravila i uputa proizvođača za pojedine materijale.</t>
  </si>
  <si>
    <t>Ovi uvjeti odnose se na sve izolaterske radove na podovima, te zidovima podruma, kao i na radove koji su u vezi s tim radovima. Svi materijali za izolaciju podova i zidova trebaju odgovarati važećim tehničkim propisima i to:
- Pravilnik o tehničkim mjerama i uvjetima za ugljikovodične hidroizolacije krovova i terasa (Sl. list br.26/69)
- Tehničkim uvjetima izvođenja izolacijskih radova na ravnim krovovima HRN U.F2.024.
- Pravilnik o tehničkim mjerama i uvjetima za nagibe krovnih ploha (Sl. list br. 26/64)
- Pravilnik o tehničkim normativima za projektiranje i izvođenje završnih radova u građevinarstvu (Sl. list br. 21/90)
Prije početka izvedbe izolacionih radova mora se kontrolirati ispravnost već izvršenih građevinskih, zanatskih i drugih radova, koji bi mogli utjecati na kvalitetu, sigurnost i trajnost izolacija.
Izvođač je dužan dati za izolaterske radove garanciju od 5 godina od dana tehničkog preuzimanja objekta.</t>
  </si>
  <si>
    <t>Izolaterski radovi moraju biti izvedeni prema projektu, a ako se ne može upotrijebiti materijal naveden u opisu radova, upotrijebiti se smije samo istovjetan proizvod, uz odobrenje projektanta. Ako u opisu radova nije izričito propisan određeni materijal, izvođač mora na vlastitu odgovornost izabrati i pripremiti materijal koji odgovara mjestu ugradbe, a u skladu je s važećim propisima i standardima. Ako se za toplinsku izolaciju upotrebljava materijal koji ne odgovara navedenim propisima, izvoditelj radova mora
predočiti ateste i odrediti prema kojim su standardima izvršena ispitivanja. Izvođač treba prema svom saznanju odlučiti da li je izolaciju potrebno dilatirati još na dodatnim mjestima, osim na mjestu dilatacije konstrukcije</t>
  </si>
  <si>
    <r>
      <rPr>
        <b/>
        <sz val="10"/>
        <rFont val="Arial"/>
        <family val="2"/>
        <charset val="238"/>
      </rPr>
      <t>Izrada hidroizolacijskog sloja poda i zidovima u sanitarnim čvorovima</t>
    </r>
    <r>
      <rPr>
        <sz val="10"/>
        <rFont val="Arial"/>
        <family val="2"/>
        <charset val="238"/>
      </rPr>
      <t>, dvostrukim  hidroizolacijskim premazom na bazi cementa, kao "SIKAELASTIK -150.  Izolaciju izvesti na opranu i očišćenu podlogu (estrih) Izolaciju podignuti uz zid 10 cm, vertikalno, uz korištenje pripadajuće trake s mrežicom. Premaz izvoditi u svemu prema uputstvima proizvođača. U cijenu uključen sav osnovni i pomoćni materijal i rad.</t>
    </r>
  </si>
  <si>
    <t>Rubovi membrana se međusobno preklapaju i zavaruju vrućim zrakom kako bi se postigao potpuno homogen spoj. Uz atike membrana se uzdiže do vrha istih (cca40cm), a uz zidove nadgrađa cca. 10 cm ili prema dostupnim visinama.  Na svojim završetcima membrana se vari na profilirane TPO limove. Sve spojeve izvesti tako da se osigura vodotijesnost membrane.
Izvoditelj treba imati radnike s odgovarajućim iskustvom, obučene i ovlaštene od proizvođača materijala.
Obračun po m2 razvijene površine hidroizolacije.</t>
  </si>
  <si>
    <t xml:space="preserve">Prije početka radova, izvoditelj je dužan provjeriti stanje podloge. Ista ne smije biti prljava, prašnjava, s aktivnim solima u sastavu, masna, nedovoljno čvrsta, raspucana ili naprsla od slijeganja, smrznuta, vlažna, neravna ili preglatka. Rad se ne smije izvoditi na podlozi koja je neprikladna za polaganje po  uputi proizvoditelja ljepila. Ako podloga nije odgovarajuća, radovi ne smiju otpočeti dok se ista ne dovede u stanje koje  osigurava kvalitetan rad ili dok se ne odstrani i izvede nova ispravna podloga.
Prilikom radova na polaganju treba paziti da se isti izvode samo na suhoj, čistoj, odmašćenoj i ravnoj  podlozi. Eventualne manje neravnine treba izvoditelj sam popraviti masom za izravnavanje  (samonivelirajućom smjesom) i uračunati u jediničnu cijenu, iako isto nije posebice navedeno  opisom stavke. Cementni estrih na koji se polaže parket može biti vlažnosti do 2%, temperatura  prostora mora biti najmanje 10 C, vlažnost zraka u granicama 45-65%. Po izvedbi podnog opločenja treba prostorije dobro zračiti i ventilirati i to duže vrijeme.
</t>
  </si>
  <si>
    <t>Svi materijali koji se ugrađuju kao i ljepila moraju obavezno biti ispitani i certifikati priloženi. Ukoliko  ne postoje domaće norme, treba priložiti rezultate ispitivanja koji zadovoljavaju odredbe normi ISO, DIN ili EN.
Između ugrađenih podnih elemenata i čvrstih građevinskih elemenata (zidovi, stupovi i sl.) Moraju se izvesti dilatacijske fuge, širine ovisno o vrsti poda i načinu polaganja. Kutne letvice po izboru projektanta, učvršćene čavlićima u pod na svakih cca 30 cm. Na mjestima sastava i kuteva treba letvice koso zasijecati.</t>
  </si>
  <si>
    <t>Ako  se ne radi s gotovim parketima, po postavi obavezno je dvostruko brusiti i lakirati tri sloja lakom otpornim na habanje i vodu, s glatkom i ravnomjernom završnom plohom i uračunati u jediničnu cijenu izvedbe. Završna obrada lakiranjem vrijedi i za rubne letvice. Lak po odabiru projektanta mora  biti takve kvalitete da mu trajnost u normalnoj stambenoj uporabi bude najmanje 5 (pet) godina.</t>
  </si>
  <si>
    <r>
      <rPr>
        <b/>
        <sz val="10"/>
        <rFont val="Arial"/>
        <family val="2"/>
        <charset val="238"/>
      </rPr>
      <t>Dobava i izvedba parketa u unutarnjim prostorima</t>
    </r>
    <r>
      <rPr>
        <sz val="10"/>
        <rFont val="Arial"/>
        <family val="2"/>
        <charset val="238"/>
      </rPr>
      <t xml:space="preserve">, od gotovih daščica troslojnog parketa (slojevi međusobno okomito orijentiranih vlakana), standardne kvalitete, završno lakiran, lijepljenjem prvorazrednim ekološkim ljepilom.
Daščice su širine cca 150 mm, dužine cca 1500 mm, debljine cca 15 mm, odnosno prema izboru/zahtjevu projektanta i investitora. 
- premaz primerom potpuno suhe,čiste podloge
- izravnavanje podloge specijalnom masom u 2 sloja 
- čišćenje i oprašivanje usisavanjem suhe ravne podloge
- polaganje daščica na utor i pero, lijepljenjem specijalnim dvokomponentnim ljepilom po cijeloj površini
- raspored i način postavljanja u dogovoru s projektantom za svaku  prostoriju posebno
- uredno rezanje parketa uz rešku prema zidovima ili drugoj vrsti poda širine 1 cm
- čišćenje i otprašivanje površine poda usisačem prašine
Uključivo :
- sav osnovni i pričvrsni materijal i rad u dobrom zanatu
Obračun po m2 kompletne izvedbe, do potpune gotovosti i pune funkcionalnosti podne plohe.
- položeno na armirani cem. estrih (obračunat posebno)                           
</t>
    </r>
  </si>
  <si>
    <t>Prije početka izvedbe radova, izvoditelj je obvezan predočiti projektantu detaljnu radioničku dokumentaciju izvedbe kao i uzorke materijala koji će se ugraditi. Tek po izboru i odobrenju projektanta može otpočeti s radovima. Ako  se ugrade materijali koje projektant nije odobrio i (ili) u neodgovarajućoj kvaliteti i (ili) različito s obzirom na odobreni projekt oblaganja i detalje, radovi će se morati ponoviti u traženoj kvaliteti, izboru i po projektu uz prethodno uklanjanje neispravnih radova. Izrada detalja neće se posebno platiti već predstavlja trošak i obvezu izvoditelja.
Izvoditelj stijena mora tijekom izrade radioničke dokumentacije kao i montažer kod montaže biti u uskom kontaktu s isporučiteljima i izvoditeljima elektroinstalacija jake i slabe struje i ostalih instalacija i sistema koji se ugrađuju u sklopu stijene, jer svi ti elementi čine sastavni dio čija rješenja koordinira i kontrolira montažer stijene, a što je sve uključeno u jediničnu cijenu.
Izvoditelj je obvezan dobaviti: uputu za izvođenje radova, ugradbu i/ili montažu i/ili postavljanje; uvjete pripreme i stanja podloge; uputu za uporabu i rad; način održavanja u uporabi.
Sve stavke za koje se traži odgovarajuća vatrootpornost moraju zadovoljiti odgovarajuće odredbe HRN-a ili drugih propisa koji su priznati, odnosno po HRN-i tražena kvaliteta mora se dokazati odgovarajućim certifikatima izdanim od strane za to ovlaštene i registrirane organizacije.
Izvoditelj radova obvezan je prije početka izrade i ugradbe uručiti potrebne certifikate u svezi gore navedene HRN-e odgovarajućoj nadležnoj službi. Zabranjena je ugradba prije predočenja važećih certifikata.
Jediničnom cijenom izvedbe treba obuhvatiti dobavu i ugradbu elemenata stijene, slaganje elemenata u cjelinu, kompletnu nosivu konstrukciju, sve pripadne sidrene elemente i detalje, brtvljenja i kitanja rubova i spojeva, izvedbu rubnih detalja uz bočne vertikalne i horizontalne plohe, kao i obradu oko eventualno ugrađenih elemenata instalacija. Sve navedeno treba izvesti isključivo u skladu s tehnologijom proizvoditelja stijene, rabeći samo materijale i alate koji su tehnologijom predviđeni.</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</si>
  <si>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
U području spojeva pregradnih zidova s bočnim građevnim elementima na profile treba nanijeti brtveni kit (u 2 reda) ili PE brtvenu traku.</t>
  </si>
  <si>
    <r>
      <rPr>
        <b/>
        <sz val="10"/>
        <rFont val="Arial"/>
        <family val="2"/>
        <charset val="238"/>
      </rPr>
      <t>Dobava materijala i izrada gipskartonskih stropova</t>
    </r>
    <r>
      <rPr>
        <sz val="10"/>
        <rFont val="Arial"/>
        <family val="2"/>
        <charset val="238"/>
      </rPr>
      <t xml:space="preserve"> s pasicom, sustav kao Knauf D112. Jednostruka obloga od GK ploča A/H2 debljine 12,5mm, potkonstrukcija iz tipskih Knauf nosivih i montažnih CD i rubnih UD profila. Ovješenje potkonstrukcije izvodi se odgovarajućim tipskim ovjesom. Obrada spojeva u kvaliteti K2. U jedinični cijenu potrebno uključiti sav rad i materijal do pune gotovosti. Obračun po m2 izvedenog stropa.</t>
    </r>
  </si>
  <si>
    <t>Prije početka izvedbe radova izvoditelj je dužan projektantu predočiti uzorke boja odgovarajuće za određen tip obrade i izvesti probna bojanja s uzorcima na plohama koje se obrađuju, i to u više nijansi boja, na osnovu čega će projektant odabrati boju i način nanošenja odnosno tip valjka. Tek po izboru i odobrenju projektanta može se otpočeti s radovima na tako odabran način. Gore navedeno neće se posebno platiti već predstavlja trošak i obvezu izvoditelja i ulazi u jediničnu cijenu izvedbe radova.
Ako se izvedu radovi koje projektant nije odobrio i (ili) u neodgovarajućoj boji, tonu ili kvaliteti, radovi će se morati ponoviti u traženoj kvaliteti, izboru i po projektu uz prethodno uklanjanje neispravnih radova.
Sva bojanja i ličenja treba izvesti samo na suhim, čistim, ravnim ili ravnomjerno zakrivljenim (po projektu) i odmašćenim plohama. Podlogu treba prije početka radova pregledati i kod većih oštećenja ili zaprljanja i zamašćenja na isto upozoriti nadzornog inženjera i radove prekinuti dok se podloga odgovarajuće ne pripremi. Kod manjih oštećenja treba izvoditelj podlogu dovesti u potrebno stanje za kvalitetan rad brušenjem manjih neravnina, kitanjem i zapunjavanjem pukotina i manjih udubina kitom za zapunjavanje i izravnanje. Nakon toga treba obavezno izvesti jednokratno gletanje odgovarajućom glet masom za određeni tip podloge, ako nije u stavci troškovnika drugačije navedeno. Sve gore navedeno treba uračunati u jediničnu cijenu.</t>
  </si>
  <si>
    <t>Pri radu, naročito u zatvorenim prostorima i ispod krovišta treba se striktno pridržavati pravila zaštite na radu, uz primjenu odgovarajućih zaštitnih sredstava. Sve prostorije po završetku radova treba dobro prozračiti ili ventilirati.
Prilikom izvođenja radova izvoditelj treba zaštititi sve susjedne plohe i dijelove konstrukcije na takav način da ne dođe do njihovog prljanja i oštećenja i isto uračunati u cijeni. Ako do prljanja i oštećenja ipak dođe isto će izvoditelj očistiti i popraviti na svoj trošak.</t>
  </si>
  <si>
    <r>
      <rPr>
        <b/>
        <sz val="10"/>
        <rFont val="Arial"/>
        <family val="2"/>
        <charset val="238"/>
      </rPr>
      <t>Bojanje AB stropova i greda</t>
    </r>
    <r>
      <rPr>
        <sz val="10"/>
        <rFont val="Arial"/>
        <family val="2"/>
        <charset val="238"/>
      </rPr>
      <t>, disperzivnim bojama sa svim potrebnim predradnjama. Boja prema odabiru projektanta. Stavka uključuje i skelu, te sav potreban rad i materijal. Obračun po m2.</t>
    </r>
  </si>
  <si>
    <t>Izvoditelj se obvezuje izraditi i ugraditi aluminijsku fasadu do potpune gotovosti, u već provjerenom i certificiranim  sustavima, te se od njega očekuje visoka kvaliteta izvedbe. Prije početka radova, izvoditelj je dužan izvršiti pripremne radnje propisane Zakonom o gradnji (NN br.153/13) i Zakonom zaštite na radu za mjesta rada (NN 29/13).
Prije početka izvedbe radova, izvoditelj je obvezan predočiti projektantu detaljnu radioničku dokumentaciju izvedbe kao i uzorke materijala koji će se ugraditi. Tek po izboru i odobrenju projektanta može otpočeti s radovima. Ako se ugrade materijali koje projektant nije odobrio i (ili) u neodgovarajućoj kvaliteti i (ili) različito s obzirom na odobreni projekt oblaganja i detalje, radovi će se morati ponoviti u traženoj kvaliteti, izboru i po projektu uz prethodno uklanjanje neispravnih radova. Izrada detalja neće se posebno platiti već predstavlja trošak i obvezu izvoditelja.</t>
  </si>
  <si>
    <r>
      <rPr>
        <b/>
        <sz val="9"/>
        <rFont val="Arial"/>
        <family val="2"/>
        <charset val="238"/>
      </rPr>
      <t>NAPOMENA:</t>
    </r>
    <r>
      <rPr>
        <sz val="9"/>
        <rFont val="Arial"/>
        <family val="2"/>
        <charset val="238"/>
      </rPr>
      <t xml:space="preserve"> Izvest će se certificirani ETICS fasadni sustav, sukladno projektnoj dokumentaciji, izvedbenim projektima i detaljima, a sve prema pravilima struke i smjernicama za izradu ETICS sustava HUPFAS-a.  Izolacijska svojstva elemenata sustava moraju biti u skladu s Projektom građevinske fizike. Gotove stavke moraju udovoljavati traženim uvjetima iz projektne dokumentacije.
</t>
    </r>
    <r>
      <rPr>
        <b/>
        <sz val="9"/>
        <rFont val="Arial"/>
        <family val="2"/>
        <charset val="238"/>
      </rPr>
      <t>U podnožju zida (sokl) do visine 60 cm od razine tla umjesto ploča od mineralne vune ugradit će se pjenasto staklo jednake debljine</t>
    </r>
    <r>
      <rPr>
        <sz val="9"/>
        <rFont val="Arial"/>
        <family val="2"/>
        <charset val="238"/>
      </rPr>
      <t>, s hrapavom površinom radi bolje prionjivosti, a sve prema elaboratu fizikalnih svojstava zgrade.</t>
    </r>
  </si>
  <si>
    <t>Na spoju lima i podloge (beton, žbuka, drvo i dr.) treba obvezno postaviti sloj krovne ljepenke po cijeloj površini spoja, i uračunati u jediničnu cijenu. Sve vidljive spojeve lima i betonskih ili ožbukanih fasadnih ploha treba obvezno brtviti po cijeloj dužini spoja trajno elastičnim (plastičnim) bezbojnim kitom otpornim i postojanim na atmosferilije i smrzavanje, i uračunati u jediničnu cijenu. Sve spojeve lima treba obvezno izvesti nepropusno. Plohe izvedene limom moraju biti izvedene pravilno i u ravnini, po nagibima odvodnje i kosinama definiranim u projektu.
Radove treba uskladiti s radovima na izolacijama gdje se lim izvodi uz slojeve izolacije ili kod dilatacijskih detalja.
Sve spojeve lima ili nosača lima od plošnog željeza i fasadnih ploha treba izvesti vrlo pažljivo da se ne ošteti fasadna ploha. Ako do toga ipak dođe oštećenje treba popraviti izvoditelj na svoj trošak.
Svi izvedeni limarski radovi moraju biti uzemljeni u skladu s odgovarajućim dijelom projekta elektroinstalacija. Radovi u vezi uzemljenja obuhvaćeni su troškovnikom u sklopu odgovarajućeg dijela projekta elektroinstalacija.</t>
  </si>
  <si>
    <t xml:space="preserve">Sva oblaganja kamenim pločama moraju se izvesti prema projektu, važećim standardima i normativima; Tehničkim uvjetima za oblaganje kamenim pločama. Izvođenje i izbor materijala mora odgovarati Pravilniku o tehničkim normativima za projektiranje i izvođenje završnih radova u građevinarstvu (SL.l. 21/90 veza na NN 53/91).
Prije polaganja opločenja zidova i podova kamenim ili umjetnim pločama, treba provjeriti izvedene podloge i temeljito ih očistiti prije nanošenja veznog materijala.
Izvoditelj je dužan osigurati kamen prvorazredne kvalitete, propisanih mehaničkih i kemijskih svojstava,
boje, tona vrste i završne obrade po izboru projektanta, a veličine i debljine, propisane projektom. Prije polaganja kamena treba izvršiti odabir ispravnih već odrezanih i obrađenih ploča, te izdvojiti one koje svojom teksturom bitno odskaču od odabranog uzorka. Posebno  voditi računa da kod obrade poliranih ploča  bridovi trebaju ostati oštri i neokrnjeni.
Nakon polaganja podova izvoditelj je dužan izvesti zaštitu poda na adekvatan način kojom će spriječiti
oštečenja. Zaštitu treba ukloniti neposredno prije otvaranja objekta.
</t>
  </si>
  <si>
    <t>U cijeni kamenarskih radova obuhvaćen je sav potreban rad na postavi opločenja ili obloge kao i uzimanje mjera na mjestu postave opločenja, dobava i dostava svog potrebnog osnovnog i pomoćnog materijala, čišćenje i priprema podloge s popravkom manjih oštećenja i neravnina, zaštita radova do primopredaje, čišćenje gotovog opločenja s uklanjanjem viška materijala i ambalaže, poduzimanje HTZ mjera kao i potrebna skela. Izvoditelj je dužan izvršiti probno polaganje odnosno oblaganje (min. 2-3 m2),
te nastaviti rad tek po pregledu nadzornog inženjera</t>
  </si>
  <si>
    <t>Svi vidljivi dijelovi konstrukcije izvedene alu profilima i limovima moraju biti završno plastificirani u boji i tonu po izboru, a obrada plastificiranjem mora biti apsolutno postojana bez promjene tona s obzirom na starenje i atmosferilije.
Ostakljenje izvesti po opisu iz sheme.</t>
  </si>
  <si>
    <t>Vrata i prozore treba opremiti kvalitetnim i trajnim brtvenim trakama i profilima. Isti moraju biti elastični, trajni, postojani na temperaturne promjene. Kitovi koji se ugrađuju moraju biti trajno elastični, osobina kao gore navedeno.
Fuge između zida/stropa/poda i stolarije ispuniti poliuretanskom pjenom, izvana kitati trajno elastičnim kitom a iznutra pokriti tipskim limovima ili kutnim letvicama. Spajanje pojedinih elemenata u veće cjeline brtviti i vršiti po uputi proizvoditelja a bez posebne naknade.</t>
  </si>
  <si>
    <t>Izvođač bravarskih radova treba se pridržavati nacrta, šema opisa pojedinačnih stavaka troškovnika, te postojećih propisa. Izvođač bravarskih radova treba prije izrade bravarije izvršiti točnu izmjeru otvora, te provjeriti da li su građevinski radovi izvedeni prema projektu. Izmjeru svih otvora u koje se ugrađuje bravarija treba u preglednom obliku dostaviti nadzornom inženjeru na uvid. Kod odstupanja u veličinama, koje odlučuju pri izvedbi bravarije, nadzorni inženjer s odgovornim projektantom arhitekture treba s obzirom na razne faktore koji utječu, donijeti odluku hoće li se i u kojem slučaju vršiti izrada bravarije, izmijenjene veličine, odnosno vršiti adaptaciju otvora (smanjenje, proširenje).
Izvođač je dužan izraditi za svaku stavku radioničke nacrte te ih dostaviti odgovornom projektantu na uvid i ovjeru i tek tada prići izradi stavke.
Prije izrade stavki izvođač je dužan na osnovu radioničkih nacrta izraditi prototip u radionici i nakon suglasnosti projektanta nastaviti proizvodnju.
Izvođač je dužan o svom trošku nabaviti uzorke materijala koji je predviđen za ugradnju i deklarirati odakle je materijal nabavljen. Izvođač je obavezan dostaviti dokaze o atestiranju materijala koji moraju zadovoljiti odgovarajuće propise i standarde:</t>
  </si>
  <si>
    <t>Izvođač radova treba nadzornom inženjeru staviti na uvid ateste ovlaštene organizacije, koja je izvršila ispitivanje proizvoda kod proizvođača iz kojih se može ustanoviti da se vanjska bravarija bez obzira na dimenzije projekta može izraditi tako, da udovoljava kategorijama koje su propisane specifikacijom radova (uvjeti propustljivosti vode i zraka). Za bravariju koja je izrađena od aluminijskih legura treba staviti još na uvid atest osnovnog materijala u kojem moraju biti navedeni rezultati ispitivanja propisanih osobina. Za aluminijske legure, kojima su površine obrađene anodnom oksidacijom, treba nadzornom inženjeru staviti na uvid još i specifikaciju s propisanom oznakom za anodnu oksidaciju, te atest o ispitivanju propisanih osobina oksidnog sloja, a prema specifikaciji radova.</t>
  </si>
  <si>
    <t>Prije ugradnje bravarije, bravar je dužan upozoriti izvođača građevinskih radova na eventualne nedostatke, jer bravar odgovora za kvalitetu i ispravnost svih dijelova do primopredaje svojih radova. Izvođač je dužan prije početka rada kontrolirati sve mjere na gradnji za svaki pojedini predmet kao i mjera s točnim snimkama profila stubišta za sve vrste ograda.
Prije ugradnje (montaže) ograda, rukohvata štitnika rubova, strugala i drugog, izvođač radova treba pozvati odgovornog projektanta arhitekture i nadzornog inženjera da ustanovi da je bravarija izvedena prema shemi, specifikaciji i detalju u projektu. Nadzorni inženjer treba upisom i potpisom u građevinski dnevnik odobriti ugradnju.</t>
  </si>
  <si>
    <t>Antikorozivna zaštita čeličnih dijelova mora biti u skladu s važećim propisima «Pravilnika o tehničkim mjerama i uvjetima za zaštitu čeličnih konstrukcija od korozije».
Završna obrada čeličnih dijelova je ličenje uljanim naličom u boji po izboru projektanta. Kod aluminijskih prozora, vratiju i stijena površinska obrada je elektrostatskim putem u boji po izboru projektanta.
Kompletna površinska obrada svih materijala mora biti u skladu s važećim propisima i uputama proizvođača primijenjenog materijala (sredstva), a prema zahtjevu projektanta.
Prije početka izrade obavezno se moraju uskladiti mjere i količine na objektu. Željezni dijelovi spajaju se varenjem. Svaki sastav mora biti tako konstruktivno riješen da na vanjskim površinama nema vidljivih vijaka.</t>
  </si>
  <si>
    <r>
      <rPr>
        <b/>
        <sz val="10"/>
        <rFont val="Arial"/>
        <family val="2"/>
        <charset val="238"/>
      </rPr>
      <t xml:space="preserve">Strojno zasijecanje postojećih obrađenih površina </t>
    </r>
    <r>
      <rPr>
        <sz val="10"/>
        <rFont val="Arial"/>
        <family val="2"/>
        <charset val="238"/>
      </rPr>
      <t>na mjestima ulaza i kolničke konstrukcije na mjestima uklapanja nove trase na postojeću cestu.
Obračun po m'</t>
    </r>
  </si>
  <si>
    <r>
      <rPr>
        <b/>
        <sz val="10"/>
        <rFont val="Arial"/>
        <family val="2"/>
        <charset val="238"/>
      </rPr>
      <t>Izvedba bitumeniziranog nosivog sloja AC 16 base</t>
    </r>
    <r>
      <rPr>
        <sz val="10"/>
        <rFont val="Arial"/>
        <family val="2"/>
        <charset val="238"/>
      </rPr>
      <t xml:space="preserve"> na parkirnim površinama. Strojna izrada asfaltnog nosivog sloja AC 16 base, debljine 5 cm proizvedenog od bitumenske mješavine agregata i bitumena kao veziva. BIT 50/70, AG6, M2 (lako prometno opterećenje).
U cijenu su sadržani svi troškovi nabave materijala, proizvodnje  i ugradnje asfaltne mješavine, prijevoz, oprema i ostalo potrebno za potpuno izvođenje radova. Obračun po m</t>
    </r>
    <r>
      <rPr>
        <vertAlign val="superscript"/>
        <sz val="10"/>
        <rFont val="Arial"/>
        <family val="2"/>
        <charset val="238"/>
      </rPr>
      <t>2</t>
    </r>
    <r>
      <rPr>
        <sz val="10"/>
        <rFont val="Arial"/>
        <family val="2"/>
        <charset val="238"/>
      </rPr>
      <t xml:space="preserve"> gornje površine stvarno položenog i ugrađenog cestovnog sloja.</t>
    </r>
  </si>
  <si>
    <r>
      <rPr>
        <b/>
        <sz val="10"/>
        <rFont val="Arial"/>
        <family val="2"/>
        <charset val="238"/>
      </rPr>
      <t>Izvedba završnog sloja parkirnih površina od asfaltbetona AC 8 surf.</t>
    </r>
    <r>
      <rPr>
        <sz val="10"/>
        <rFont val="Arial"/>
        <family val="2"/>
        <charset val="238"/>
      </rPr>
      <t xml:space="preserve"> Strojna izrada završnog sloja kolnika AC 8 surf, debljine 3 cm, proizvedenog od bitumenske mješavine agregata i bitumena kao veziva, BIT 50/70, AG4, M4 (lako prometno opterećenje). U cijenu su sadržani svi troškovi nabave materijala, proizvodnje  i ugradnje asfaltne mješavine, prijevoz, oprema i ostalo potrebno za potpuno izvođenje radova. Obračun po m2 gornje površine stvarno položenog i ugrađenog cestovnog sloja.</t>
    </r>
  </si>
  <si>
    <t>U cijenu radova uključiti nabavu osnovnog i pomoćnog, pričvrsnog materijala, utovar, prijevoz i istovar materijala, uskladištenje u skladište ili gradilišnu deponiju, kompletan rad s kvalifikacijama radnika prema normativima za potrebne radove, sve horizontalne i vertikalne prijenose, potrebne radne skele, te sva razmjeravanja i obilježavanja.</t>
  </si>
  <si>
    <t>a)</t>
  </si>
  <si>
    <t>b)</t>
  </si>
  <si>
    <t>c)</t>
  </si>
  <si>
    <t>d)</t>
  </si>
  <si>
    <t>e)</t>
  </si>
  <si>
    <t>f)</t>
  </si>
  <si>
    <t>8.1.</t>
  </si>
  <si>
    <t>8.2.</t>
  </si>
  <si>
    <t>8.3.</t>
  </si>
  <si>
    <t>8.4.</t>
  </si>
  <si>
    <t>8.5.</t>
  </si>
  <si>
    <t>8. KERAMIČARSKI RADOVI</t>
  </si>
  <si>
    <t>9.1.</t>
  </si>
  <si>
    <t>9.2.</t>
  </si>
  <si>
    <t>9.3.</t>
  </si>
  <si>
    <t>10.1.</t>
  </si>
  <si>
    <t>10.2.</t>
  </si>
  <si>
    <t>10.4.</t>
  </si>
  <si>
    <t>10.3.</t>
  </si>
  <si>
    <t>11.1.</t>
  </si>
  <si>
    <t>11.2.</t>
  </si>
  <si>
    <t>11.3.</t>
  </si>
  <si>
    <t>11.4.</t>
  </si>
  <si>
    <t>13.1.</t>
  </si>
  <si>
    <t>13.2.</t>
  </si>
  <si>
    <t>13.3.</t>
  </si>
  <si>
    <t>12.2.</t>
  </si>
  <si>
    <t>12.3.</t>
  </si>
  <si>
    <t>12.4.</t>
  </si>
  <si>
    <t>15. STOLARSKI RADOVI</t>
  </si>
  <si>
    <t>15.1.</t>
  </si>
  <si>
    <t>15.2.</t>
  </si>
  <si>
    <t>16. ALUMINIJSKA BRAVARIJA</t>
  </si>
  <si>
    <t>16.1.</t>
  </si>
  <si>
    <t>16.2.</t>
  </si>
  <si>
    <t>16.3.</t>
  </si>
  <si>
    <t>16.4.</t>
  </si>
  <si>
    <t>16.5.</t>
  </si>
  <si>
    <t>16.6.</t>
  </si>
  <si>
    <t>16.7.</t>
  </si>
  <si>
    <t>16.8.</t>
  </si>
  <si>
    <t>16.10.</t>
  </si>
  <si>
    <t>16.11.</t>
  </si>
  <si>
    <t>16.12.</t>
  </si>
  <si>
    <t>16.13.</t>
  </si>
  <si>
    <t>16.15.</t>
  </si>
  <si>
    <t>16.16.</t>
  </si>
  <si>
    <t>16.17.</t>
  </si>
  <si>
    <t>16.18.</t>
  </si>
  <si>
    <t>17. PROTUPOŽARNA BRAVARIJA</t>
  </si>
  <si>
    <t>17.1.</t>
  </si>
  <si>
    <t>Armatura</t>
  </si>
  <si>
    <t>kg</t>
  </si>
  <si>
    <t>5. TERMOIZOLATERSKI RADOVI</t>
  </si>
  <si>
    <t>5.1.</t>
  </si>
  <si>
    <t>5.3.</t>
  </si>
  <si>
    <t>5.4.</t>
  </si>
  <si>
    <t>6. HIDROIZOLATERSKI RADOVI</t>
  </si>
  <si>
    <t>7. PARKETARSKI RADOVI</t>
  </si>
  <si>
    <r>
      <rPr>
        <b/>
        <sz val="10"/>
        <rFont val="Arial"/>
        <family val="2"/>
        <charset val="238"/>
      </rPr>
      <t>Izrada, dobava i montaža pokrovnih limova (kapa) krovnih prodora.</t>
    </r>
    <r>
      <rPr>
        <sz val="10"/>
        <rFont val="Arial"/>
        <family val="2"/>
        <charset val="238"/>
      </rPr>
      <t xml:space="preserve"> od cinkotit lima debljine 1 mm. Uključivo potrebne kuke, podložni sloj ljepenke, kladice, učvršćenja, brtvljenja, dilatiranja, kitanja trajnoelastoplastičnim kitovima i sl. Obračun po m</t>
    </r>
    <r>
      <rPr>
        <vertAlign val="superscript"/>
        <sz val="10"/>
        <rFont val="Arial"/>
        <family val="2"/>
        <charset val="238"/>
      </rPr>
      <t>2</t>
    </r>
    <r>
      <rPr>
        <sz val="10"/>
        <rFont val="Arial"/>
        <family val="2"/>
        <charset val="238"/>
      </rPr>
      <t xml:space="preserve"> kompletne izvedbe (ukupna razvijena širina svih limova), do potpune gotovosti i pune funkcionalnosti pokrova.
</t>
    </r>
  </si>
  <si>
    <t>18.1.</t>
  </si>
  <si>
    <t>18.2.</t>
  </si>
  <si>
    <t>20.1.</t>
  </si>
  <si>
    <t>20.2.</t>
  </si>
  <si>
    <t>20.3.</t>
  </si>
  <si>
    <t>20.4.</t>
  </si>
  <si>
    <t>g)</t>
  </si>
  <si>
    <r>
      <rPr>
        <b/>
        <sz val="10"/>
        <rFont val="Arial"/>
        <family val="2"/>
        <charset val="238"/>
      </rPr>
      <t>Strojni iskop jarka za betonske zidove okoliša</t>
    </r>
    <r>
      <rPr>
        <sz val="10"/>
        <rFont val="Arial"/>
        <family val="2"/>
        <charset val="238"/>
      </rPr>
      <t xml:space="preserve"> u tlu bez obzira na kategoriju. s odvozom materijala od iskopa na deponij.
Obračun po m³ iskopanog materijala u sraslom stanju. 
</t>
    </r>
  </si>
  <si>
    <r>
      <rPr>
        <b/>
        <sz val="10"/>
        <rFont val="Arial"/>
        <family val="2"/>
        <charset val="238"/>
      </rPr>
      <t xml:space="preserve">Dobava materijala i izvedba plivajućeg armiranog cementnog estriha </t>
    </r>
    <r>
      <rPr>
        <sz val="10"/>
        <rFont val="Arial"/>
        <family val="2"/>
        <charset val="238"/>
      </rPr>
      <t>debljine 4 cm kao podloge završnih obloga poda. Na spojevima sa zidovima postaviti trake debljine 1 cm. Estrih se armira polipropilenskim vlaknima (cca 1 kg/m</t>
    </r>
    <r>
      <rPr>
        <vertAlign val="superscript"/>
        <sz val="10"/>
        <rFont val="Arial"/>
        <family val="2"/>
        <charset val="238"/>
      </rPr>
      <t>3</t>
    </r>
    <r>
      <rPr>
        <sz val="10"/>
        <rFont val="Arial"/>
        <family val="2"/>
        <charset val="238"/>
      </rPr>
      <t xml:space="preserve"> betona). Izvoditi u dilatiranim površinama od 25 m</t>
    </r>
    <r>
      <rPr>
        <vertAlign val="superscript"/>
        <sz val="10"/>
        <rFont val="Arial"/>
        <family val="2"/>
        <charset val="238"/>
      </rPr>
      <t>2.</t>
    </r>
    <r>
      <rPr>
        <sz val="10"/>
        <rFont val="Arial"/>
        <family val="2"/>
        <charset val="238"/>
      </rPr>
      <t xml:space="preserve"> Estrih završno zagladiti "helikopterom". U cijenu stavke uključena je i postava PE folije d=0,2mm ispod sloja estriha i 2+2cm EPS-T. Obračun po m² tlocrtne površine.</t>
    </r>
  </si>
  <si>
    <r>
      <rPr>
        <b/>
        <sz val="10"/>
        <rFont val="Arial"/>
        <family val="2"/>
        <charset val="238"/>
      </rPr>
      <t>Doplata zbog zamjene</t>
    </r>
    <r>
      <rPr>
        <sz val="10"/>
        <rFont val="Arial"/>
        <family val="2"/>
        <charset val="238"/>
      </rPr>
      <t xml:space="preserve"> </t>
    </r>
    <r>
      <rPr>
        <b/>
        <sz val="10"/>
        <rFont val="Arial"/>
        <family val="2"/>
        <charset val="238"/>
      </rPr>
      <t>određene vrste</t>
    </r>
    <r>
      <rPr>
        <sz val="10"/>
        <rFont val="Arial"/>
        <family val="2"/>
        <charset val="238"/>
      </rPr>
      <t xml:space="preserve"> </t>
    </r>
    <r>
      <rPr>
        <b/>
        <sz val="10"/>
        <rFont val="Arial"/>
        <family val="2"/>
        <charset val="238"/>
      </rPr>
      <t>gk ploče</t>
    </r>
    <r>
      <rPr>
        <sz val="10"/>
        <rFont val="Arial"/>
        <family val="2"/>
        <charset val="238"/>
      </rPr>
      <t xml:space="preserve"> u odnosu na standardnu gk ploču tip A. Razlika u cijeni se odnosi na jedan sloj gk ploče d=12,5mm. Ukoliko u bilo kojem trenutku dođe do izmjene slojeva bilo kojeg gk zida, obračun će se vršiti prema ovoj stavci.</t>
    </r>
  </si>
  <si>
    <t>REKAPITULACIJA</t>
  </si>
  <si>
    <t>1.</t>
  </si>
  <si>
    <t>2.</t>
  </si>
  <si>
    <t>3.</t>
  </si>
  <si>
    <t>4.</t>
  </si>
  <si>
    <t>5.</t>
  </si>
  <si>
    <t>6.</t>
  </si>
  <si>
    <t>7.</t>
  </si>
  <si>
    <t>8.</t>
  </si>
  <si>
    <t>9.</t>
  </si>
  <si>
    <t>10.</t>
  </si>
  <si>
    <t>11.</t>
  </si>
  <si>
    <t>12.</t>
  </si>
  <si>
    <t>13.</t>
  </si>
  <si>
    <t>14.</t>
  </si>
  <si>
    <t>15.</t>
  </si>
  <si>
    <t>16.</t>
  </si>
  <si>
    <t>17.</t>
  </si>
  <si>
    <t>18.</t>
  </si>
  <si>
    <t>19.</t>
  </si>
  <si>
    <t>20.</t>
  </si>
  <si>
    <t>PRIPREMNI RADOVI</t>
  </si>
  <si>
    <t>ZEMLJANI RADOVI</t>
  </si>
  <si>
    <t>BETONSKI I ARMIRANO-BETONSKI RADOVI</t>
  </si>
  <si>
    <t>ZIDARSKI RADOVI</t>
  </si>
  <si>
    <t>TERMOIZOLATERSKI RADOVI</t>
  </si>
  <si>
    <t>HIDROIZOLATERSKI RADOVI</t>
  </si>
  <si>
    <t>PARKETARSKI RADOVI</t>
  </si>
  <si>
    <t>KERAMIČARSKI RADOVI</t>
  </si>
  <si>
    <t>GIPSKARTONSKI RADOVI</t>
  </si>
  <si>
    <t>SOBOSLIKARSKI RADOVI</t>
  </si>
  <si>
    <t>FASADERSKI RADOVI</t>
  </si>
  <si>
    <t>LIMARSKI RADOVI</t>
  </si>
  <si>
    <t>STOLARSKI RADOVI</t>
  </si>
  <si>
    <t>ALUMINIJSKA BRAVARIJA</t>
  </si>
  <si>
    <t>PROTUPOŽARNA BRAVARIJA</t>
  </si>
  <si>
    <t>CRNA BRAVARIJA</t>
  </si>
  <si>
    <t>OKOLIŠ</t>
  </si>
  <si>
    <t>PDV(25%)</t>
  </si>
  <si>
    <t>SVEUKUPNO:</t>
  </si>
  <si>
    <t>Ugrađena armatura mora biti u skladu sa važećim propisima i normativima, te prema specifikaciji iz armaturnih planova koji će biti sastavni dio izvedbenog projekta u kojem će detaljno biti prikazan plan savijanja, oznaka pozicija i konačan iskaz (količina) armature. Ovdje je dana samo procjena.</t>
  </si>
  <si>
    <t xml:space="preserve">Nabava čeličnih šipki B-500B  rebrasti, ispravljanje, čiščenje, siječenje i savijanje, doprema na gradilišni deponij, unutrašnji transport, postavljanje i vezivanje;             </t>
  </si>
  <si>
    <t xml:space="preserve">Nabava armaturnih mreža B-500B, ispravljanje, čišćenje, siječenje, doprema na gradilišni deponij, unutrašnji transport, postavljanje i vezivanje;             </t>
  </si>
  <si>
    <t>Armaturne rebraste mreže, čelik B-500B.</t>
  </si>
  <si>
    <t>Obračun po kg</t>
  </si>
  <si>
    <t>Prije davanja ponude, izvođač radova treba proučiti troškovnik i nacrte, pregledati, te provjeriti postojeće stanje kako bi mogao dati realnu cijenu pripremnih radova.</t>
  </si>
  <si>
    <t>Pripremni radovi obuhvaćaju izradu plana i redosljeda aktivnosti kako bi se radovi mogli odvijati sukladno zahtjevima vezanim za specifičnosti, mjesto i vrijeme izvedbe (osiguranje priključaka, određivanje točnih geodetskih visina).</t>
  </si>
  <si>
    <t>Nakon izvođenja pripremnih radova nužno je očistiti gradilište kako bi bilo pripremljeno za izvođenje ostalih radova.</t>
  </si>
  <si>
    <t>Pod čišćenjem nakon navedenih radova podrazumijeva se i održavanje uređenosti okolnih prostora uz gradilište, dok su velika čišćenja i odvoz materijala nastalog zbog ostalih radova obuhvaćeni u troškovniku ostalih građevinskih radova.</t>
  </si>
  <si>
    <t>Sve potrebne radnje za uređenje gradilišta, natpisna ploča gradilišta, ograde, svi potrebni privremeni priključci i uređenja privremenih puteva obveza su izvođača.</t>
  </si>
  <si>
    <t>3.1.</t>
  </si>
  <si>
    <t>3.2.</t>
  </si>
  <si>
    <t>3.3.</t>
  </si>
  <si>
    <t>3.4.</t>
  </si>
  <si>
    <t>3.5.</t>
  </si>
  <si>
    <t>3.6.</t>
  </si>
  <si>
    <t>3.10.</t>
  </si>
  <si>
    <t>3.11.</t>
  </si>
  <si>
    <t>3.13.</t>
  </si>
  <si>
    <t>3.14.</t>
  </si>
  <si>
    <t>3.15.</t>
  </si>
  <si>
    <t xml:space="preserve">Toplinske izolacije izvode se prema opisu troškovnika, kvalitetno i prema HRN-a, te tehničkim propisima za toplinsku i zvučnu izolaciju.
Prije početka izvedbe izolacionih radova mora se kontrolirati ispravnost već izvršenih građevinskih, zanatskih i drugih radova, koji bi mogli utjecati na kvalitetu, sigurnost i trajnost izolacija.
Izvođač je dužan dati za izolaterske radove garanciju od 5 godina od dana tehničkog preuzimanja objekta. Izolaterski radovi moraju biti izvedeni prema projektu, a ako se ne može upotrijebiti materijal naveden u opisu radova, upotrijebiti se smije samo istovjetan proizvod, uz odobrenje projektanta. Ako u opisu radova nije izričito propisan određeni materijal, izvođač mora na vlastitu odgovornost izabrati i pripremiti
materijal koji odgovara mjestu ugradbe, a u skladu je s važećim propisima i standardima. Ako se za toplinsku izolaciju upotrebljava materijal koji ne odgovara navedenim propisima, izvoditelj radova mora predočiti ateste i odrediti prema kojim su standardima izvršena ispitivanja. Izvođač treba prema svom saznanju odlučiti da li je izolaciju potrebno dilatirati još na dodatnim mjestima, osim na mjestu dilatacije konstrukcije.
</t>
  </si>
  <si>
    <t xml:space="preserve">GK zidovi </t>
  </si>
  <si>
    <t>10.5.</t>
  </si>
  <si>
    <t>Ugrađeni građevni proizvodi moraju udovoljavati zahtjevima Zakona o građevnim proizvodima (NN 76/13, 30/14, 130/17); Tehničkom propisu o građevnim proizvodima (NN 33/10, 87/10, 146/10, 81/11,100/11-ispravak, 130/12, 81/13, 136/14, 119/15) i njima povezanim propisima.
U cijenu radova uključiti nabavu osnovnog i pomoćnog, pričvrsnog materijala, utovar, prijevoz i istovar materijala, uskladištenje u skladište ili gradilišnu deponiju, kompletan rad s kvalifikacijama radnika prema normativima za potrebne radove, sve horizontalne i vertikalne prijenose, potrebne radne skele, te sva razmjeravanja i obilježavanja.
Radove izvoditi prema EU i HR standardima.</t>
  </si>
  <si>
    <t>Poduzeće za projektiranje i nadzor</t>
  </si>
  <si>
    <t>e-mail: viafactum@viafactum.hr</t>
  </si>
  <si>
    <t>tel: 023/400 655</t>
  </si>
  <si>
    <t>tel/fax: 023/400 654</t>
  </si>
  <si>
    <t xml:space="preserve">OIB: 76739136445 </t>
  </si>
  <si>
    <t>TROŠKOVNIK GRAĐEVINSKIH I OBRTNIČKIH RADOVA</t>
  </si>
  <si>
    <t>Investitor:</t>
  </si>
  <si>
    <t>Građevina:</t>
  </si>
  <si>
    <t>Zajednička oznaka projekta:</t>
  </si>
  <si>
    <t>Oznaka projekta:</t>
  </si>
  <si>
    <t>Troškovnik izradio:</t>
  </si>
  <si>
    <t>Silvio Panović, dipl. ing. građ.</t>
  </si>
  <si>
    <t>Suradnici:</t>
  </si>
  <si>
    <t>Ante Bilušić, struč. spec. ing. aedif.</t>
  </si>
  <si>
    <t>Mjesto i datum:</t>
  </si>
  <si>
    <t>Lokacije građevine:</t>
  </si>
  <si>
    <t>Dvostruki premaz</t>
  </si>
  <si>
    <r>
      <rPr>
        <b/>
        <sz val="10"/>
        <rFont val="Arial"/>
        <family val="2"/>
        <charset val="238"/>
      </rPr>
      <t>Bojanje GK zidova</t>
    </r>
    <r>
      <rPr>
        <sz val="10"/>
        <rFont val="Arial"/>
        <family val="2"/>
        <charset val="238"/>
      </rPr>
      <t>, disperzivnim bojama sa svim potrebnim predradnjama. Boja prema odabiru projektanta/inv. U cijenu su uključene sve potrebne predradnje. Eventualno potrebna skela je uključena u cijenu. Obračun po m</t>
    </r>
    <r>
      <rPr>
        <vertAlign val="superscript"/>
        <sz val="10"/>
        <rFont val="Arial"/>
        <family val="2"/>
        <charset val="238"/>
      </rPr>
      <t>2</t>
    </r>
    <r>
      <rPr>
        <sz val="10"/>
        <rFont val="Arial"/>
        <family val="2"/>
        <charset val="238"/>
      </rPr>
      <t>.</t>
    </r>
  </si>
  <si>
    <r>
      <rPr>
        <b/>
        <sz val="10"/>
        <rFont val="Arial"/>
        <family val="2"/>
        <charset val="238"/>
      </rPr>
      <t>Bojanje AB stupova i zidova</t>
    </r>
    <r>
      <rPr>
        <sz val="10"/>
        <rFont val="Arial"/>
        <family val="2"/>
        <charset val="238"/>
      </rPr>
      <t>, disperzivnim bojama sa svim potrebnim predradnjama. Boja prema odabiru projektanta. Stavka uključuje i skelu, te sav potreban rad i materijal. Obračun po m</t>
    </r>
    <r>
      <rPr>
        <vertAlign val="superscript"/>
        <sz val="10"/>
        <rFont val="Arial"/>
        <family val="2"/>
        <charset val="238"/>
      </rPr>
      <t>2</t>
    </r>
    <r>
      <rPr>
        <sz val="10"/>
        <rFont val="Arial"/>
        <family val="2"/>
        <charset val="238"/>
      </rPr>
      <t>.</t>
    </r>
  </si>
  <si>
    <r>
      <rPr>
        <b/>
        <sz val="10"/>
        <rFont val="Arial"/>
        <family val="2"/>
        <charset val="238"/>
      </rPr>
      <t>Strojni iskop sloja humusa d=20 cm, s privremenim skladištenjem iskopanog materijala na gradilišnoj deponiji</t>
    </r>
    <r>
      <rPr>
        <sz val="10"/>
        <rFont val="Arial"/>
        <family val="2"/>
        <charset val="238"/>
      </rPr>
      <t>. Po završetku radova iskopani humus se ugrađuje, planiranjem na zelene površine na području zahvata. U jediničnu cijenu uključen sav rad i pomoćni materijal, kao i utovar, sav gradilišni transport i istovar materijala na gradilištu, te ugradnja materijala po završetku radova na područje zahvata.</t>
    </r>
  </si>
  <si>
    <r>
      <rPr>
        <b/>
        <sz val="10"/>
        <rFont val="Arial"/>
        <family val="2"/>
        <charset val="238"/>
      </rPr>
      <t>Strojni iskop za trakaste temelje</t>
    </r>
    <r>
      <rPr>
        <sz val="10"/>
        <rFont val="Arial"/>
        <family val="2"/>
        <charset val="238"/>
      </rPr>
      <t xml:space="preserve"> bez obzira na kategoriju tla. U stavku je uključen iskop i privremeno deponiranje radi kasnijeg nasipanja. Iskop se ne izvodi na konačnu kotu, već se ista postiže planiranjem. Pri radovima treba postaviti svu potrebnu prometnu i sigurnosnu signalizaciju. Iskop obračunava u sraslom stanju s proširenjem za rad sa svake strane</t>
    </r>
  </si>
  <si>
    <r>
      <t>beton</t>
    </r>
    <r>
      <rPr>
        <b/>
        <sz val="10"/>
        <rFont val="Arial"/>
        <family val="2"/>
        <charset val="238"/>
      </rPr>
      <t xml:space="preserve"> C30/37</t>
    </r>
  </si>
  <si>
    <r>
      <rPr>
        <b/>
        <sz val="10"/>
        <rFont val="Arial"/>
        <family val="2"/>
        <charset val="238"/>
      </rPr>
      <t xml:space="preserve">Betoniranje trakastih temelja betonom </t>
    </r>
    <r>
      <rPr>
        <sz val="10"/>
        <rFont val="Arial"/>
        <family val="2"/>
        <charset val="238"/>
      </rPr>
      <t xml:space="preserve"> C 30/37 u dvostranoj glatkoj oplati prema statičkom proračunu i nacrtima. Cijena uključuje dobavu i ugradnju svog potrebnog materijala do potpune gotovosti.</t>
    </r>
  </si>
  <si>
    <r>
      <rPr>
        <b/>
        <sz val="10"/>
        <rFont val="Arial"/>
        <family val="2"/>
        <charset val="238"/>
      </rPr>
      <t>Betoniranje AB nadtemeljnih zidova  betonom C 30/37 u dvostranoj</t>
    </r>
    <r>
      <rPr>
        <sz val="10"/>
        <rFont val="Arial"/>
        <family val="2"/>
        <charset val="238"/>
      </rPr>
      <t xml:space="preserve">  glatkoj oplati prema statičkom proračunu i nacrtima. Cijena uključuje dobavu i ugradnju svog potrebnog materijala do potpune gotovosti.</t>
    </r>
  </si>
  <si>
    <r>
      <rPr>
        <b/>
        <sz val="10"/>
        <rFont val="Arial"/>
        <family val="2"/>
        <charset val="238"/>
      </rPr>
      <t xml:space="preserve">Betoniranje okruglih AB stupova Φ50 cm </t>
    </r>
    <r>
      <rPr>
        <sz val="10"/>
        <rFont val="Arial"/>
        <family val="2"/>
        <charset val="238"/>
      </rPr>
      <t>u glatkoj oplati prema statičkom proračunu i nacrtima. Cijena uključuje dobavu i ugradnju svog potrebnog materijala do potpune gotovosti.</t>
    </r>
  </si>
  <si>
    <r>
      <rPr>
        <b/>
        <sz val="10"/>
        <rFont val="Arial"/>
        <family val="2"/>
        <charset val="238"/>
      </rPr>
      <t>Betoniranje AB podne ploče d=15 cm betonom C 30/37 u potrebnoj glatkoj oplati.</t>
    </r>
    <r>
      <rPr>
        <sz val="10"/>
        <rFont val="Arial"/>
        <family val="2"/>
        <charset val="238"/>
      </rPr>
      <t xml:space="preserve"> Izvodi se sa svim denivelacijama i rampama, a sve</t>
    </r>
    <r>
      <rPr>
        <b/>
        <sz val="10"/>
        <rFont val="Arial"/>
        <family val="2"/>
        <charset val="238"/>
      </rPr>
      <t xml:space="preserve"> </t>
    </r>
    <r>
      <rPr>
        <sz val="10"/>
        <rFont val="Arial"/>
        <family val="2"/>
        <charset val="238"/>
      </rPr>
      <t xml:space="preserve">prema statičkom proračunu i nacrtima. Cijena uključuje dobavu i ugradnju svog potrebnog materijala do potpune gotovosti. </t>
    </r>
  </si>
  <si>
    <t xml:space="preserve">oplata </t>
  </si>
  <si>
    <r>
      <rPr>
        <b/>
        <sz val="10"/>
        <rFont val="Arial"/>
        <family val="2"/>
        <charset val="238"/>
      </rPr>
      <t xml:space="preserve">Betoniranje AB ploča iznad prizemlja, (POZ 100) d=20 cm </t>
    </r>
    <r>
      <rPr>
        <sz val="10"/>
        <rFont val="Arial"/>
        <family val="2"/>
        <charset val="238"/>
      </rPr>
      <t>u glatkoj oplati debljine prema statičkom proračunu i nacrtima. Cijena uključuje dobavu i ugradnju svog potrebnog materijala do potpune gotovosti.</t>
    </r>
  </si>
  <si>
    <r>
      <rPr>
        <b/>
        <sz val="10"/>
        <rFont val="Arial"/>
        <family val="2"/>
        <charset val="238"/>
      </rPr>
      <t xml:space="preserve">Betoniranje AB ploča iznad prizemlja, (POZ 101) d=22 cm </t>
    </r>
    <r>
      <rPr>
        <sz val="10"/>
        <rFont val="Arial"/>
        <family val="2"/>
        <charset val="238"/>
      </rPr>
      <t>u glatkoj oplati debljine prema statičkom proračunu i nacrtima. Cijena uključuje dobavu i ugradnju svog potrebnog materijala do potpune gotovosti.</t>
    </r>
  </si>
  <si>
    <r>
      <rPr>
        <b/>
        <sz val="10"/>
        <rFont val="Arial"/>
        <family val="2"/>
        <charset val="238"/>
      </rPr>
      <t xml:space="preserve">Betoniranje kose AB ploče iznad prizemlja, (POZ 102) d=20 cm </t>
    </r>
    <r>
      <rPr>
        <sz val="10"/>
        <rFont val="Arial"/>
        <family val="2"/>
        <charset val="238"/>
      </rPr>
      <t>u glatkoj oplati debljine prema statičkom proračunu i nacrtima. Cijena uključuje dobavu i ugradnju svog potrebnog materijala do potpune gotovosti.</t>
    </r>
  </si>
  <si>
    <r>
      <rPr>
        <b/>
        <sz val="10"/>
        <rFont val="Arial"/>
        <family val="2"/>
        <charset val="238"/>
      </rPr>
      <t>Betoniranje AB kontra greda i krovnih nadozida</t>
    </r>
    <r>
      <rPr>
        <sz val="10"/>
        <rFont val="Arial"/>
        <family val="2"/>
        <charset val="238"/>
      </rPr>
      <t xml:space="preserve"> u glatkoj oplati prema statičkom proračunu i nacrtima. Cijena uključuje dobavu i ugradnju svog potrebnog materijala do potpune gotovosti.</t>
    </r>
  </si>
  <si>
    <r>
      <rPr>
        <b/>
        <sz val="10"/>
        <rFont val="Arial"/>
        <family val="2"/>
        <charset val="238"/>
      </rPr>
      <t>Betoniranje unutarnjih AB stepenica na tlu</t>
    </r>
    <r>
      <rPr>
        <sz val="10"/>
        <rFont val="Arial"/>
        <family val="2"/>
        <charset val="238"/>
      </rPr>
      <t xml:space="preserve"> u oplati prema statičkom proračunu i nacrtima. Cijena uključuje dobavu i ugradnju svog potrebnog materijala do potpune gotovosti. </t>
    </r>
  </si>
  <si>
    <r>
      <rPr>
        <b/>
        <sz val="10"/>
        <rFont val="Arial"/>
        <family val="2"/>
        <charset val="238"/>
      </rPr>
      <t>Žbukanje svih AB zidova i podgleda koji ostaju vidljivi</t>
    </r>
    <r>
      <rPr>
        <sz val="10"/>
        <rFont val="Arial"/>
        <family val="2"/>
        <charset val="238"/>
      </rPr>
      <t xml:space="preserve"> (gdje nema spuštenog stropa) vapneno - cementnom žbukom (špric, gruba i fina). U cijeni uračunata priprema, radna skela, sva zaštita, sav potreban materijal i rad do potpune gotovosti. Obračun po m² površine</t>
    </r>
  </si>
  <si>
    <t>opločnici u ljepilu</t>
  </si>
  <si>
    <t>ok</t>
  </si>
  <si>
    <t>cementni estrih d= 4,5 cm</t>
  </si>
  <si>
    <t>cementni estrih d= 5 cm</t>
  </si>
  <si>
    <r>
      <rPr>
        <b/>
        <sz val="10"/>
        <rFont val="Arial"/>
        <family val="2"/>
        <charset val="238"/>
      </rPr>
      <t>Dobava, postava i izrada zvučno-toplinske izolacije podova na tlu.</t>
    </r>
    <r>
      <rPr>
        <sz val="10"/>
        <rFont val="Arial"/>
        <family val="2"/>
        <charset val="238"/>
      </rPr>
      <t xml:space="preserve"> Na pripremljenu hidroizolaciju (obračun u izolaterskim radovima) polažu se dva sloja ploča od elastificiranog ekspandiranog polistirena EPS (21 kg/m³) debljine 1 cm ( 2x1 cm). Preko ova dva postavlja se treći sloj od ekstrudiranih ploča polistirena XPS (32 kg/m³) debljine 6 cm. Iznad ploča postavlja se sloj polietilenske folije d=0,15mm, uzdignute uz rubnu traku, sa preklopima 10 cm zalijepljene ljepljivom trakom po cijeloj dužini svih preklopa. Obračun po m², uključeni svi materijali navedeni u stavci.</t>
    </r>
  </si>
  <si>
    <t xml:space="preserve">podovi na tlu </t>
  </si>
  <si>
    <t>cementni estrih d= 6,5 cm</t>
  </si>
  <si>
    <t>beton u padu - ravni krov d = 5-18 cm</t>
  </si>
  <si>
    <r>
      <rPr>
        <b/>
        <sz val="10"/>
        <rFont val="Arial"/>
        <family val="2"/>
        <charset val="238"/>
      </rPr>
      <t xml:space="preserve">Dobava materijala te izvedba laganog sitnozrnog betona u padu približno 1%, debljine od 5  - 18 cm </t>
    </r>
    <r>
      <rPr>
        <sz val="10"/>
        <rFont val="Arial"/>
        <family val="2"/>
        <charset val="238"/>
      </rPr>
      <t xml:space="preserve"> Stavka uključuje preciznu izvedbu projektiranih padova, izradu holkela (zaobljenja uz vertikalne rubove gornje plohe) te zaglađivanje gornje plohe za izvedbu parne brane ili hidroizolacije. Obračun po m</t>
    </r>
    <r>
      <rPr>
        <vertAlign val="superscript"/>
        <sz val="10"/>
        <rFont val="Arial"/>
        <family val="2"/>
        <charset val="238"/>
      </rPr>
      <t>3</t>
    </r>
    <r>
      <rPr>
        <sz val="10"/>
        <rFont val="Arial"/>
        <family val="2"/>
        <charset val="238"/>
      </rPr>
      <t xml:space="preserve"> ugrađenog betona</t>
    </r>
  </si>
  <si>
    <t xml:space="preserve">GRAĐEVINA DRUŠTVENE NAMJENE - DJEČJI VRTIĆ U PRIVLACI
</t>
  </si>
  <si>
    <t>cementni estrih d= 5-7 cm</t>
  </si>
  <si>
    <r>
      <rPr>
        <b/>
        <sz val="10"/>
        <rFont val="Arial"/>
        <family val="2"/>
        <charset val="238"/>
      </rPr>
      <t xml:space="preserve">Dobava materijala i izvedba plivajućeg armiranog cementnog estriha u padu </t>
    </r>
    <r>
      <rPr>
        <sz val="10"/>
        <rFont val="Arial"/>
        <family val="2"/>
        <charset val="238"/>
      </rPr>
      <t>debljine 4-5cm i 5-7cm na terasama i lođama. Na spojevima s zidovima postaviti trake debljine  1 cm. Estrih se armira polipropilenskim vlaknima (cca 1 kg/m</t>
    </r>
    <r>
      <rPr>
        <vertAlign val="superscript"/>
        <sz val="10"/>
        <rFont val="Arial"/>
        <family val="2"/>
        <charset val="238"/>
      </rPr>
      <t>3</t>
    </r>
    <r>
      <rPr>
        <sz val="10"/>
        <rFont val="Arial"/>
        <family val="2"/>
        <charset val="238"/>
      </rPr>
      <t xml:space="preserve"> betona). Izvoditi u dilatiranim površinama od 25 m</t>
    </r>
    <r>
      <rPr>
        <vertAlign val="superscript"/>
        <sz val="10"/>
        <rFont val="Arial"/>
        <family val="2"/>
        <charset val="238"/>
      </rPr>
      <t>2.</t>
    </r>
    <r>
      <rPr>
        <sz val="10"/>
        <rFont val="Arial"/>
        <family val="2"/>
        <charset val="238"/>
      </rPr>
      <t xml:space="preserve"> Estrih završno zagladiti "helikopterom". U cijenu stavke uključena je i postava PE folije d=0,2mm ispod sloja estriha. Obračun po m² tlocrtne površine.</t>
    </r>
  </si>
  <si>
    <r>
      <rPr>
        <b/>
        <sz val="10"/>
        <rFont val="Arial"/>
        <family val="2"/>
        <charset val="238"/>
      </rPr>
      <t xml:space="preserve">Dobava, postava i izrada toplinske izolacije međukatnih konstrukcija iznad negrijanog prostora (MK1, MK2) </t>
    </r>
    <r>
      <rPr>
        <sz val="10"/>
        <rFont val="Arial"/>
        <family val="2"/>
        <charset val="238"/>
      </rPr>
      <t>koja se izvodi (s donje strane ploče)  od lamela kamene vune debljine 10 cm,  lijepiti provjerenim građevinskim ljepilom. Nakon  24 h pričvrstiti ih pričvrsnicama min 8 kom/m². Nakon toga na ploče nanijeti dva sloja građevinskog ljepila s utisnutom alkalno otpornom staklenom mrežicom ukupne debljine oko 4 mm.  U cijenu uračunati vrijednost svog materijala i rada.</t>
    </r>
  </si>
  <si>
    <t>FKL d= 4 cm</t>
  </si>
  <si>
    <t>MW d= 16 cm</t>
  </si>
  <si>
    <t>MW d= 4-16 cm</t>
  </si>
  <si>
    <r>
      <rPr>
        <b/>
        <sz val="10"/>
        <rFont val="Arial"/>
        <family val="2"/>
        <charset val="238"/>
      </rPr>
      <t>Dobava, postava i izrada toplinske izolacije</t>
    </r>
    <r>
      <rPr>
        <sz val="10"/>
        <rFont val="Arial"/>
        <family val="2"/>
        <charset val="238"/>
      </rPr>
      <t xml:space="preserve"> </t>
    </r>
    <r>
      <rPr>
        <b/>
        <sz val="10"/>
        <rFont val="Arial"/>
        <family val="2"/>
        <charset val="238"/>
      </rPr>
      <t>na ravnom krovu (K1, K2, K3, K4)</t>
    </r>
    <r>
      <rPr>
        <sz val="10"/>
        <rFont val="Arial"/>
        <family val="2"/>
        <charset val="238"/>
      </rPr>
      <t xml:space="preserve">. Na prethodno postavljenu parnu branu postavljaju se termoizolacijske ploče od tvrde kamene vune. Obračun po m² krovne plohe. U cijenu su uključeni svi materijali navedeni u stavci.   </t>
    </r>
  </si>
  <si>
    <r>
      <rPr>
        <b/>
        <sz val="10"/>
        <rFont val="Arial"/>
        <family val="2"/>
        <charset val="238"/>
      </rPr>
      <t>Opločenje zidova kupaonica pločicama I klase</t>
    </r>
    <r>
      <rPr>
        <sz val="10"/>
        <rFont val="Arial"/>
        <family val="2"/>
        <charset val="238"/>
      </rPr>
      <t xml:space="preserve">, </t>
    </r>
    <r>
      <rPr>
        <b/>
        <sz val="10"/>
        <rFont val="Arial"/>
        <family val="2"/>
        <charset val="238"/>
      </rPr>
      <t>u specijalnom ljepilu.</t>
    </r>
    <r>
      <rPr>
        <sz val="10"/>
        <rFont val="Arial"/>
        <family val="2"/>
        <charset val="238"/>
      </rPr>
      <t xml:space="preserve">
Retificirane (laserski rezane) pločice iz granitne keramike renomiranog proizvođača, prema HRN EN 14411; grupa BIb; polusjajne (satinato)
- položeno u specijalno ljepilo, na novo ožbukani zid/ GK zid/betonski zid
- fugirano specijalnom masom u boji po izboru
- svi slobodni rubovi završeni tipskim profilima
- vrsta i boja pločica, kao i način postavljanja po izboru projektanta
Uključivo :
- dobavu, pripremu i ugradnju svega materijala
- rad na visi do 3,00 m
Obračun po m2 stvarno izvedenog opločenja, bez obzira na veličinu prostorija i visinu opločenja
</t>
    </r>
  </si>
  <si>
    <r>
      <rPr>
        <b/>
        <sz val="10"/>
        <rFont val="Arial"/>
        <family val="2"/>
        <charset val="238"/>
      </rPr>
      <t>Opločenje zidova kuhinje</t>
    </r>
    <r>
      <rPr>
        <sz val="10"/>
        <rFont val="Arial"/>
        <family val="2"/>
        <charset val="238"/>
      </rPr>
      <t xml:space="preserve"> </t>
    </r>
    <r>
      <rPr>
        <b/>
        <sz val="10"/>
        <rFont val="Arial"/>
        <family val="2"/>
        <charset val="238"/>
      </rPr>
      <t xml:space="preserve"> pločicama I klase u specijalnom ljepilu</t>
    </r>
    <r>
      <rPr>
        <sz val="10"/>
        <rFont val="Arial"/>
        <family val="2"/>
        <charset val="238"/>
      </rPr>
      <t xml:space="preserve">
- Postavljaju se na zidove kuhinja pomoću fleksibilnog vodootpornog građevinskog ljepila na prethodno pripremljenu podlogu.
- fugirano specijalnom masom u boji po izboru
- vrsta i boja pločica, kao i način postavljanja po izboru projektanta
Uključivo :
- dobavu, pripremu i ugradnju svega materijala
- rad na visi do 3,00 m
Obračun po m2 stvarno izvedenog opločenja, bez obzira na veličinu prostorija i visinu opločenja</t>
    </r>
  </si>
  <si>
    <r>
      <rPr>
        <b/>
        <sz val="10"/>
        <rFont val="Arial"/>
        <family val="2"/>
        <charset val="238"/>
      </rPr>
      <t>Opločenje podova pločicama I klase lijepljenjem.</t>
    </r>
    <r>
      <rPr>
        <sz val="10"/>
        <rFont val="Arial"/>
        <family val="2"/>
        <charset val="238"/>
      </rPr>
      <t xml:space="preserve">
Retificirane (laserski rezane) pločice čistih jednolikih boja renomiranog proizvođača. 
- glazirane pločice, prema HRN EN 14411, grupa BIa, protuklizne R10 A+B,  otpornost prema habanju PEI 4, upijanju vode Ib
- položeno u specijalno elastično vodonepropusno ljepilo prema uputi proizvođača keramike 
- odgovarajuća masa za izravnanje, debljine do 1,00 cm
- fugirano specijalnom vodonepropusnom masom u boji po izboru projektanta/inv.
- postavljanje reška na rešku sa sljubnicama  najmanje moguće širine
- uključivo pripasivanje podnog sifona (dobava obračunata posebno), pravilno izrezivanje i kitanje oko otvora, prodora, uglova i sl, sva potrebna kitanja, brtvljenja i sl, te sve ostalo potrebno za kompletnu izvedbu do potpune gotovosti 
- vrsta i boja pločica po izboru projektanta
- pločice čine komplet sa zidnim opločenjem
Uključivo :
- dobavu, pripremu i ugradnju svega materijala
Obračun po m2 stvarno izvedenog opločenja, bez obzira na veličinu prostorija pločice, kombinacije velikih formata vel. ≥30/60/1,0 cm </t>
    </r>
  </si>
  <si>
    <t>podne keramičke pločice - kuhinja</t>
  </si>
  <si>
    <t>podne keramičke pločice - sanitarni čvorovi</t>
  </si>
  <si>
    <t>podne keramičke pločice - spremišta</t>
  </si>
  <si>
    <r>
      <rPr>
        <b/>
        <sz val="10"/>
        <rFont val="Arial"/>
        <family val="2"/>
        <charset val="238"/>
      </rPr>
      <t>Opločenje  vanjskih stepenica i  poda natkrivenog ulaza keramičkim pločicama I klase za vanjske prostore</t>
    </r>
    <r>
      <rPr>
        <sz val="10"/>
        <rFont val="Arial"/>
        <family val="2"/>
        <charset val="238"/>
      </rPr>
      <t>. 
- ploče prema HRN EN 14411; grupa BIa, otporne na atmosferilije, otporne na smrzavanje, otporne na mrlje, protuklizne R11 A+B+C, fazonski komadi za gazišta s protuklizno profiliranim rubom
- odgovarajuća masa za izravnanje debljine do 1,50 cm
- položeno u propisano specijalno ljepilo, po uputi proizvođača, na zaglađenu betonsku površinu i masu za  izravnanje
- fugirano specijalnom masom u boji po izboru
- vrsta i boja pločica, kao i način postavljanja po izboru projektanta
Uključeno :
- dobavu, pripremu i ugradnju svega materijala
Obračun po m1 izvedenog fazonskog opločenja; m2 podnog opločenja.</t>
    </r>
  </si>
  <si>
    <t>sokl - spremišta</t>
  </si>
  <si>
    <r>
      <rPr>
        <b/>
        <sz val="10"/>
        <rFont val="Arial"/>
        <family val="2"/>
        <charset val="238"/>
      </rPr>
      <t>Dobava materijala i izrada gipskartonskog pregradnog zida GK (Diamant) pločama</t>
    </r>
    <r>
      <rPr>
        <sz val="10"/>
        <rFont val="Arial"/>
        <family val="2"/>
        <charset val="238"/>
      </rPr>
      <t xml:space="preserve"> – ukupne debljine 15 cm, debljina izolacije 100 mm.  Izvedba sukladno tehničkoj uputi proizvođača. Obrada spojeva ploča u kvaliteti K2.
Oblaganje zida: jedna strana 2x1,25 ploča (Diamant), druga strana 2x1,25 ploča (Diamant). Potkonstrukcija CW/MW100, te mineralna vuna prema HRN EN 13162. Rw&gt;54 dB. 
Dobava komplet materijala i izrada pregradnog zida uključivo i UA profile oko otvora, obračun po m² izvedenog zida.</t>
    </r>
  </si>
  <si>
    <r>
      <t xml:space="preserve">gk zid </t>
    </r>
    <r>
      <rPr>
        <b/>
        <sz val="10"/>
        <rFont val="Arial"/>
        <family val="2"/>
        <charset val="238"/>
      </rPr>
      <t>W112 (Diamant)</t>
    </r>
    <r>
      <rPr>
        <sz val="10"/>
        <rFont val="Arial"/>
        <family val="2"/>
        <charset val="238"/>
      </rPr>
      <t xml:space="preserve">, d=15 cm </t>
    </r>
  </si>
  <si>
    <r>
      <rPr>
        <b/>
        <sz val="10"/>
        <rFont val="Arial"/>
        <family val="2"/>
        <charset val="238"/>
      </rPr>
      <t>Dobava materijala i izrada gipskartonskog pregradnog zida GK (H2) pločama</t>
    </r>
    <r>
      <rPr>
        <sz val="10"/>
        <rFont val="Arial"/>
        <family val="2"/>
        <charset val="238"/>
      </rPr>
      <t xml:space="preserve"> – ukupne debljine 10 cm, debljina izolacije 50 mm.  Izvedba sukladno tehničkoj uputi proizvođača. Obrada spojeva ploča u kvaliteti K2.
Oblaganje zida: jedna strana 2x1,25 ploča (H2), druga strana 2x1,25 ploča (H2). Potkonstrukcija CW/MW50, te mineralna vuna prema HRN EN 13162. Rw&gt;54 dB. 
Dobava komplet materijala i izrada pregradnog zida uključivo i UA profile oko otvora, obračun po m² izvedenog zida.</t>
    </r>
  </si>
  <si>
    <t>HPL kompakt ploče (MW 5 cm)</t>
  </si>
  <si>
    <t>HPL kompakt ploče (MW 10 cm)</t>
  </si>
  <si>
    <t>limeni oluk r.š. 60 cm</t>
  </si>
  <si>
    <r>
      <t xml:space="preserve">okomiti limeni oluk </t>
    </r>
    <r>
      <rPr>
        <sz val="10"/>
        <rFont val="Symbol"/>
        <family val="1"/>
        <charset val="2"/>
      </rPr>
      <t xml:space="preserve">f </t>
    </r>
    <r>
      <rPr>
        <sz val="10"/>
        <rFont val="Arial"/>
        <family val="2"/>
        <charset val="238"/>
      </rPr>
      <t>125</t>
    </r>
  </si>
  <si>
    <r>
      <t xml:space="preserve">okomiti limeni oluk </t>
    </r>
    <r>
      <rPr>
        <sz val="10"/>
        <rFont val="Symbol"/>
        <family val="1"/>
        <charset val="2"/>
      </rPr>
      <t xml:space="preserve">f </t>
    </r>
    <r>
      <rPr>
        <sz val="10"/>
        <rFont val="Arial"/>
        <family val="2"/>
        <charset val="238"/>
      </rPr>
      <t>75</t>
    </r>
  </si>
  <si>
    <r>
      <rPr>
        <b/>
        <sz val="10"/>
        <rFont val="Arial"/>
        <family val="2"/>
        <charset val="238"/>
      </rPr>
      <t xml:space="preserve">Dobava, izrada i ugradnja okomitih odvodnih olučnih cijevi </t>
    </r>
    <r>
      <rPr>
        <sz val="10"/>
        <rFont val="Arial"/>
        <family val="2"/>
        <charset val="238"/>
      </rPr>
      <t>od cinkotit lima s držačima. U cijenu obračunata sva pričvrsna sredstva.. Obračun po m' izvedenog oluka.</t>
    </r>
  </si>
  <si>
    <r>
      <rPr>
        <b/>
        <sz val="10"/>
        <rFont val="Arial"/>
        <family val="2"/>
        <charset val="238"/>
      </rPr>
      <t>Obzidavanje ventilacija i kanala iznad krova pregradnom blok opekom</t>
    </r>
    <r>
      <rPr>
        <sz val="10"/>
        <rFont val="Arial"/>
        <family val="2"/>
        <charset val="238"/>
      </rPr>
      <t xml:space="preserve"> debljine  10 cm, u visini do 150 cm uključivo izradu horizontalnih i vertikalnih serklaža i izrada radne skele.</t>
    </r>
  </si>
  <si>
    <r>
      <rPr>
        <b/>
        <sz val="10"/>
        <rFont val="Arial"/>
        <family val="2"/>
        <charset val="238"/>
      </rPr>
      <t>Izrada AB kapa s okapnicom</t>
    </r>
    <r>
      <rPr>
        <sz val="10"/>
        <rFont val="Arial"/>
        <family val="2"/>
        <charset val="238"/>
      </rPr>
      <t xml:space="preserve"> i hidroizolacijskim premazom na obzidima ventilacija i kanalizacijskih vertikala na krovu. Debljina AB kapa je 15cm. Obračun po m2 postavljenih kapa.</t>
    </r>
  </si>
  <si>
    <r>
      <rPr>
        <b/>
        <sz val="10"/>
        <rFont val="Arial"/>
        <family val="2"/>
        <charset val="238"/>
      </rPr>
      <t xml:space="preserve">Dobava i polaganje betonskih opločnika </t>
    </r>
    <r>
      <rPr>
        <sz val="10"/>
        <rFont val="Arial"/>
        <family val="2"/>
        <charset val="238"/>
      </rPr>
      <t xml:space="preserve">(elementi tipske betonske galanterije) kao završnog sloja ravnih krovova. Opločnici od tlačenog betona ili sl. završne obrade i boje prema izboru projektanta/inv.  Površinski sloj mora zadovoljavati uvjete čvrstoće na cijepanje i habanje, otpornosti na smrzavanje i soli za posipanje tla prema EU normi HRN EN 1338. Ploče se polažu s otvorenim reškama na tipske gumene podmetače, na slojeve izolacije (zasebno obračunato). Uključivo krojenje i pripasavanje na licu mjesta. Obračun po m2 kompletno izvedene  podne plohe. </t>
    </r>
  </si>
  <si>
    <t>MW d = 4 cm</t>
  </si>
  <si>
    <r>
      <rPr>
        <b/>
        <sz val="10"/>
        <rFont val="Arial"/>
        <family val="2"/>
        <charset val="238"/>
      </rPr>
      <t>Dobava, postava i izrada toplinske izolacije na ravnom krovu (K1, K9a)</t>
    </r>
    <r>
      <rPr>
        <sz val="10"/>
        <rFont val="Arial"/>
        <family val="2"/>
        <charset val="238"/>
      </rPr>
      <t xml:space="preserve">. Na prethodno postavljenu parnu branu postavljaju se termoizolacijske ploče lamela kaširane kamene vune debljine 4-16 cm te dodatno (s donje strane ploče) postaviti termoizolaciju od lamela kamene vune debljine 4 cm. Lijepiti provjerenim građevinskim ljepilom. Nakon  24 h pričvrstiti ih pričvrsnicama min 8 kom/m². Nakon toga na ploče nanijeti dva sloja građevinsko ljepila s utisnutom alkalno otpornom staklenom mrežicom ukupne debljine oko 4 mm. Obračun po m². U cijenu su uključeni svi materijali navedeni u stavci.   </t>
    </r>
  </si>
  <si>
    <t>10. GIPSKARTONSKI RADOVI</t>
  </si>
  <si>
    <t>10.6.</t>
  </si>
  <si>
    <t>10.7.</t>
  </si>
  <si>
    <t>10.8.</t>
  </si>
  <si>
    <t>9. PODOPOLAGAČKI RADOVI</t>
  </si>
  <si>
    <t xml:space="preserve">Izvedba poda:
~ temeljni premaz (PRIMER) radi penetracije u podlogu i bolje prionljivosti, proizvod kao npr. Sikafloor 264 ili jednakovrijedan 
~ nosivi sloj Sikafloor 169 s punilom Sika Decofiller u boji ili jednakovrijedan. Efekt terazzo poda 
~ zaštitni transparentni premaz, proizvod kao Sikafloor 304 W ili jednakovrijedan. 
~ nakon sušenja poda izrezuju se (po potrebi) dilatacijske reške (uračunati u cijenu)
~ obrada površine poda uz rubove reški
~ ispunjavanje reški specijalnim trajnoelastičnim kitom, koji mora imati karakteristike  kao i pod, uz prethodno premazivanje s temeljnim premazom, te po potrebi postavljanja PE ispune.
~ trajnoelastični kit Sikaflex  PRO 3 WF ili jednakovrijedan
~ temeljni premaz Sika Primer 3 ili jednakovrijedan
~ kod odabira tehnologije uzeti u obzir brzinu ugradnje </t>
  </si>
  <si>
    <t xml:space="preserve">Podni sustav (komponente) mora zadovoljiti sljedeće zahtjeve:
~ klasa gorivosti, klasa B (fl) s1 (po EN 13501-1)
~ grupa protukliznosti: R 9 
~ tlačna čvrstoća 70 N/mm2
~ za normalna do srednje teška opterećenja, dobra kemijska i mehanička otpornost i otpornost na habanje
~ vodonepropustan
~ postojanost boje
~ lakoodržavanje
</t>
  </si>
  <si>
    <t xml:space="preserve">Kriterij za ocjenu jednakovrijednosti:
~  višeslojni podni sustav na bazi dvokomponentnih epoksidnih smola
~ debljina 2,0 do 3,0 mm
~  požarna otpornost podnog sustava: klasa B (fl) s1 (po EN 13501-1)
~ protukliznost R9
~ za normalna do srednje teška opterećenja, dobra kemijska i mehanička otpornost i otpornost na habanje
~ niska emisija VOC
</t>
  </si>
  <si>
    <t xml:space="preserve">Boja: po želji projektanta/investitora RAL ton karta.
Uključivo :
~ pripremu podloge
~ izvedbu eventualno potrebnih radnih reški
~ dobavu, transport, pripremu i polaganje obloge
~ sav osnovni i pomoćni materijal, alat i rad u dobrom zanatu
~ garanciju 5 godina na izradu i ugrađeni materijal kompletnog poda
Obračun po m2 izvedenog poda
</t>
  </si>
  <si>
    <r>
      <t xml:space="preserve">Epoksidni podni sustav poda prosječne debljine ~ do 2.0 do 3,0 mm.
</t>
    </r>
    <r>
      <rPr>
        <sz val="10"/>
        <rFont val="Arial"/>
        <family val="2"/>
        <charset val="238"/>
      </rPr>
      <t xml:space="preserve">Dobava i ugradnja višeslojnog podnog sustava na bazi epoksidnih smola visoke mehaničke otpornosti, protuklizan, kao proizvod Sikafloor® DecoDur ES-22 GRANITE debljine 2,0 do 3,0 mm ili jednakovrijedan 
</t>
    </r>
    <r>
      <rPr>
        <b/>
        <sz val="10"/>
        <rFont val="Arial"/>
        <family val="2"/>
        <charset val="238"/>
      </rPr>
      <t>Priprema podloge:</t>
    </r>
    <r>
      <rPr>
        <sz val="10"/>
        <rFont val="Arial"/>
        <family val="2"/>
        <charset val="238"/>
      </rPr>
      <t xml:space="preserve">
Površina betona/cementnog estriha mora biti neoštećena, dostatne tlačne čvrstoće (min. 25 N/mm2). Površina mora biti suha i slobodna od zagađenja kao što su nafta, masnoća, premazi, tretmani površine i sl.
Priprema podloge strojno kugličnim sačmarenjem, brušenjem ili frezanjem.
Priprema se izvodi zbog odstranjivanja loših površinskih dijelova s komplet čišćenjem, usisavanjem, a sve zbog potrebne prionjivosti podne obloge za podlogu (vlačna čvrstoća PULL-OFF min. 1,5 N/mm2)  
~ zaštita svih metalnih dijelova antikorozivnim sredstvima, da ne mogu doći u doticaj s materijalom poda
</t>
    </r>
    <r>
      <rPr>
        <b/>
        <sz val="10"/>
        <rFont val="Arial"/>
        <family val="2"/>
        <charset val="238"/>
      </rPr>
      <t/>
    </r>
  </si>
  <si>
    <t xml:space="preserve">Izrada holker sokla od epoksidnog morta završno obrađenog istim materijalom kao i pod radijusa R=3-5cm
Primjena u svemu po uputi proizvođača!
U svemu iste kvalitete kao podna obloga.
Posebo pažljivo izvoditi spoj s podom, koji mora biti stabilan i vodotjesan po cijeloj dužini
Obračun po m1 izvedenog sokla.
</t>
  </si>
  <si>
    <t xml:space="preserve">Visina podnožja 10 cm </t>
  </si>
  <si>
    <r>
      <rPr>
        <b/>
        <sz val="10"/>
        <rFont val="Arial"/>
        <family val="2"/>
        <charset val="238"/>
      </rPr>
      <t>Izvedba ventilirane fasade od HPL kompakt ploča.</t>
    </r>
    <r>
      <rPr>
        <sz val="10"/>
        <rFont val="Arial"/>
        <family val="2"/>
        <charset val="238"/>
      </rPr>
      <t xml:space="preserve"> Vanjska  obloga odmaknuta min. 2 cm od prethodno postavljene mineralne vune debljine 10 i 5 cm kaširane staklenim voalom. Termo-izolacijske ploče postavljaju se između čelične potkonstrukcije pričvršćene na AB zid.  U cijenu uračunati sav potreban materijal i rad do potpune gotovosti.</t>
    </r>
  </si>
  <si>
    <t>Obloga terasa</t>
  </si>
  <si>
    <r>
      <t>Obračun po m</t>
    </r>
    <r>
      <rPr>
        <vertAlign val="superscript"/>
        <sz val="10"/>
        <rFont val="Arial"/>
        <family val="2"/>
        <charset val="238"/>
      </rPr>
      <t>2</t>
    </r>
    <r>
      <rPr>
        <sz val="10"/>
        <rFont val="Arial"/>
        <family val="2"/>
        <charset val="238"/>
      </rPr>
      <t xml:space="preserve"> gotove obloge</t>
    </r>
  </si>
  <si>
    <r>
      <rPr>
        <b/>
        <sz val="10"/>
        <rFont val="Arial"/>
        <family val="2"/>
        <charset val="238"/>
      </rPr>
      <t>Dobava i doprema vanjske podne obloge od WPC-a na natkrivenim terasama.</t>
    </r>
    <r>
      <rPr>
        <sz val="10"/>
        <rFont val="Arial"/>
        <family val="2"/>
        <charset val="238"/>
      </rPr>
      <t xml:space="preserve"> Obloge od kompozitnog materijala za vanjsku primjenu postavljaju se na pocinčanu potkonstrukciju na već pripremljenu betonsku podlogu. Decking tipa TWINSON ili jednakovrijedna.</t>
    </r>
  </si>
  <si>
    <t>11. SOBOSLIKARSKI RADOVI</t>
  </si>
  <si>
    <t>12. FASADERSKI RADOVI</t>
  </si>
  <si>
    <t>13. LIMARSKI RADOVI</t>
  </si>
  <si>
    <t>13.4.</t>
  </si>
  <si>
    <t>13.5.</t>
  </si>
  <si>
    <t>14. KAMENARSKI RADOVI</t>
  </si>
  <si>
    <t>14.1.</t>
  </si>
  <si>
    <r>
      <rPr>
        <b/>
        <sz val="10"/>
        <rFont val="Arial"/>
        <family val="2"/>
        <charset val="238"/>
      </rPr>
      <t>Dobava, izrada i ugradnja  skrivenog oluka</t>
    </r>
    <r>
      <rPr>
        <sz val="10"/>
        <rFont val="Arial"/>
        <family val="2"/>
        <charset val="238"/>
      </rPr>
      <t xml:space="preserve"> od cinkotit lima, kvadratnog presjeka. U cijenu obračunata sva pričvrsna sredstva. Obračun po m' izvedenog oluka.</t>
    </r>
  </si>
  <si>
    <t xml:space="preserve">Dobava, izrada i montaža unutrarnjih jednokrilnih vrata, sa svim okovima, bravom i ključem. Krila su obostrano furnirana i lakirana u tonu po izboru projektanta.  Dovratnici su drveni (futer) s ukrasnim letvicama, bojani bojom po izboru projektanta. U cijenu uračunati vrijednosti bojanja, lakiranja te svih materijala i radova. </t>
  </si>
  <si>
    <t>dimenzija 90x240 cm</t>
  </si>
  <si>
    <t>dimenzija 100x240 cm</t>
  </si>
  <si>
    <t>dimenzija 110x210 cm</t>
  </si>
  <si>
    <t>Dobava, izrada i montaža pregrada i vrata u wc-ima s okovima od nehrđajučeg čelika. Kao materijal koriste se vlagootporne kompakt ploče u boji po izboru projektanta. U cijenu uračunati sav rad i materijal do potpune gotovosti. Mjere i dimenzije uzeti na licu mjesta</t>
  </si>
  <si>
    <t xml:space="preserve">pregrade </t>
  </si>
  <si>
    <t>alu bravarija - vanjska</t>
  </si>
  <si>
    <t>Izrada i postava jednokrilnog otklopnog prozora  s Ventus sustavom za otvaranje.
Izrađen je od aluminijskih profila kvalitete kao Wicona ili Schico (s prekinutim termičkim mostom) sa svim potrebnim sidrenjima, opšavima do pune funkcionalnosti, debljine 86 mm, Uf= 1,3 W/m²K, ostakljenje dvoslojno staklo sa Low-e premazom Ug=1,1 W/m²K, ukupno Uw=1,3 W/m²K. U stavku uključen sav pričvrsni i spojni materijal te vanjska klupčica. Napraviti sve prema shemi i detaljima.
Napomena: Mjere provjeriti na licu mjesta</t>
  </si>
  <si>
    <t>dimenzija 220x80 cm</t>
  </si>
  <si>
    <t>dimenzija 240x80 cm</t>
  </si>
  <si>
    <t>dimenzija 300x80 cm</t>
  </si>
  <si>
    <t>Izrada i postava dvokrilnog otklopno zaokretnog prozora.
Izrađen je od aluminijskih profila kvalitete kao Wicona ili Schico (s prekinutim termičkim mostom) sa svim potrebnim sidrenjima, opšavima do pune funkcionalnosti, debljine 86 mm, Uf= 1,3 W/m²K, ukupno Uw=1,3 W/m²K. U stavku uključen sav pričvrsni i spojni materijal te vanjska klupčica. Napraviti sve prema shemi i detaljima.
Napomena: Mjere provjeriti na licu mjesta.</t>
  </si>
  <si>
    <t>dimenzija 140x80 cm</t>
  </si>
  <si>
    <t>dimenzija 500x220</t>
  </si>
  <si>
    <t>dimenzija 290x220</t>
  </si>
  <si>
    <t>dimenzija 315x220</t>
  </si>
  <si>
    <t>Izrada i postava  aluminijske stijene. Sastoji se od donjeg fiksnog dijela i otklopnog nadsvjetla. Izrađeni su od aluminijskih profila kvalitete kao Wicona ili Schico (s prekinutim termičkim mostom)  sa svim potrebnim sidrenjima, opšavima do pune funkcionalnosti, debljine 86 mm, Uf= 1,3 W/m²K, ostakljenje dvoslojno staklo sa Low-e premazom Ug=1,1 W/m²K, ukupno Uw=1,3 W/m²K. U stavku uključen sav pričvrsni i spojni materijal. Napraviti sve prema shemi i detaljima. Napomena: Mjere provjeriti na licu mjesta</t>
  </si>
  <si>
    <t>dimenzija 110x220+80 cm</t>
  </si>
  <si>
    <t>dimenzija 160x220+80 cm</t>
  </si>
  <si>
    <t>Izrada i postava  fiksnih prozora. Izrađeni su od aluminijskih profila kvalitete kao Wicona ili Schico (s prekinutim termičkim mostom)  sa svim potrebnim sidrenjima, opšavima do pune funkcionalnosti, debljine 86 mm, Uf= 1,3 W/m²K, ostakljenje dvoslojno staklo sa Low-e premazom Ug=1,1 W/m²K, ukupno Uw=1,3 W/m²K. U stavku uključen sav pričvrsni i spojni materijal. Napraviti sve prema shemi i detaljima. Napomena: Mjere provjeriti na licu mjesta</t>
  </si>
  <si>
    <t>dimenzija 170x75</t>
  </si>
  <si>
    <t>dimenzija 230x75</t>
  </si>
  <si>
    <t>Izrada i postava punih  jednokrilnih vrata izrađenih od aluminijskih profila kvalitete kao Wicona ili Schuco (s prekinutim termičkim mostom) sa svim potrebnim sidrenjima, opšavima do pune funkcionalnosti, debljine 86 mm, Uf= 1,3 W/m²K, ukupno Uw=1,3 W/m²K. U stavku uključen sav pričvrsni i spojni materijal . Napraviti sve prema shemi i detaljima.
Napomena: Mjere provjeriti na licu mjesta.</t>
  </si>
  <si>
    <t>dimenzija 100x260</t>
  </si>
  <si>
    <t>Izrada i postava  jednokrilnih zaokretno-otklopnih balkonskih vrata s nadsvjetlom. Vrata su izrađena od aluminijskih profila kvalitete kao Wicona ili Schuco (s prekinutim termičkim mostom) sa svim potrebnim sidrenjima, opšavima do pune funkcionalnosti, debljine 86 mm, Uf= 1,3 W/m²K, ukupno Uw=1,3 W/m²K. U stavku uključen sav pričvrsni i spojni materijal . Napraviti sve prema shemi i detaljima.
Napomena: Mjere provjeriti na licu mjesta.</t>
  </si>
  <si>
    <t>dimenzija 130x220+40 cm</t>
  </si>
  <si>
    <t>dimenzija 180x220+80 cm</t>
  </si>
  <si>
    <t>Izrada, dostava i montaža kombinirane stijene s jednim zaokretnim ostakljenim vratima, fiksnim bočnim ostakljenjem i nadsvjetlom. Vrata su izrađena od aluminijskih profila kvalitete kao Wicona ili Schuco (s prekinutim termičkim mostom) sa svim potrebnim sidrenjima, opšavima do pune funkcionalnosti, debljine 86 mm, Uf= 1,3 W/m²K, ukupno Uw=1,3 W/m²K. U stavku uključen sav pričvrsni i spojni materijal . Napraviti sve prema shemi i detaljima.
Napomena: Mjere provjeriti na licu mjesta.</t>
  </si>
  <si>
    <t>dimenzija 220x220+80 cm</t>
  </si>
  <si>
    <t>alu bravarija - unutarnja</t>
  </si>
  <si>
    <t>dimenzija 100x210 cm</t>
  </si>
  <si>
    <t>Izrada, dostava i montaža dvokrilnih punih vrata s fiksnim nadsvjetlom. Ugradnja u  betonski zid. Stavka se sastoji iz dovratnika i dva puna zaokretna krila. Kvaka sa štitnicma obostrano. Dovratnik i krila izrađeni od aluminijski profila za vrata zaštićena termolakiranjem dvokomponentnim poliuteranskim lakom u boji po izboru projektanta.</t>
  </si>
  <si>
    <r>
      <t>Dobava i ugradnja protupožarnih vrata. Dovratnik - pocinčani lim plastificirano, Krilo - pocinčani lim protupožarna ispuna plastificirano, Spojnica (pant) s ležajem, pocinčano, plastificirano - kom. 2, Hidraulički zatvarač sa klizačem ili škarama EN 1154 ili jednakovrijedno, Brava centralna protupožarne izvedbe EN 12209 ili jednakovrijedno, Kvaka INOX EN 1906 ili jednakovrijedno, Cilindar s 3 ključa, Brtve - u dovratniku, trostrano (gumena i ekspandirajuća) te u podu bez praga i spuštajuće brtve zazor, 5-10mm. Spoj zida i dovratnika završnim profilom (suha gradnja). Izvođač je dužan osigurati transport i ugradnju elemenata bez oštećenja. Sve mjere ugradbe kontrolirati u naravi. Izrada prema pripadajućoj shemi bravarije, smjer otvaranja protupožarnih vrata prema projektnoj dokumentaciji. Požarna vrata za zasebne prostore (nisu evakuacijska). Vatrootpornost</t>
    </r>
    <r>
      <rPr>
        <b/>
        <sz val="10"/>
        <rFont val="Arial"/>
        <family val="2"/>
        <charset val="238"/>
      </rPr>
      <t xml:space="preserve"> EI 90-C-Sm</t>
    </r>
  </si>
  <si>
    <t>dimenzija 240x220+80 cm</t>
  </si>
  <si>
    <t>dimenzija 507x90 cm</t>
  </si>
  <si>
    <t>dimenzije 452x90 cm</t>
  </si>
  <si>
    <t>dimenzija 518x90 cm</t>
  </si>
  <si>
    <t>18. CRNA BRAVARIJA</t>
  </si>
  <si>
    <t xml:space="preserve">vanjske stepenice </t>
  </si>
  <si>
    <t>Vanjske čelične stepenice koje povezuju natkrivene terase s dječjim igralištem. Visina penjanja 90 cm, širina kraka 120 cm. Konstrukcija se sastoji od 2 glavna nosača iz pravokutnih cijevi koji oblikom slijede konturu gazišta i lica stuba. Učvršćuju se u armiranobetonsku konstrukciju. Gazišta drvena. Ograda stepenica je izvedena od pravokutnih cijevi s ispunom od vertikalnih čeličnih profila. 
Cijena uključuje izradu radioničke dokumentacije, Izradu, dostavu i  ugradnju kompletne stavke uključujuči sav rad i materijal do kompletne gotovosti</t>
  </si>
  <si>
    <t>OPĆINA PRIVLAKA</t>
  </si>
  <si>
    <t>IVANA PAVLA II 46, 23233 PRIVLAKA</t>
  </si>
  <si>
    <t>OIB: 86291327705</t>
  </si>
  <si>
    <t xml:space="preserve"> </t>
  </si>
  <si>
    <t xml:space="preserve">k.č. 3799/2, k.o. Privlaka
</t>
  </si>
  <si>
    <t>Z.O.P. 107/19</t>
  </si>
  <si>
    <t>T.D. 296/19</t>
  </si>
  <si>
    <t>Zadar, veljača 2020. godine</t>
  </si>
  <si>
    <t>DJEČJI VRTIĆ U PRIVLACI</t>
  </si>
  <si>
    <t>Zrinsko-Frankopnska 10/1, 23000 Zadar</t>
  </si>
  <si>
    <r>
      <rPr>
        <b/>
        <sz val="10"/>
        <rFont val="Arial"/>
        <family val="2"/>
        <charset val="238"/>
      </rPr>
      <t>Izvedba betonske podloge  betonom C(16/20)</t>
    </r>
    <r>
      <rPr>
        <sz val="10"/>
        <rFont val="Arial"/>
        <family val="2"/>
        <charset val="238"/>
      </rPr>
      <t xml:space="preserve"> , d=10 cm ispod A.B. temeljnih greda. Gornju površinu poravnati.</t>
    </r>
  </si>
  <si>
    <t>3.7.</t>
  </si>
  <si>
    <t>3.8.</t>
  </si>
  <si>
    <t>3.9.</t>
  </si>
  <si>
    <t>3.12.</t>
  </si>
  <si>
    <r>
      <rPr>
        <b/>
        <sz val="10"/>
        <rFont val="Arial"/>
        <family val="2"/>
        <charset val="238"/>
      </rPr>
      <t>Betoniranje AB zidova u glatkoj oplati.</t>
    </r>
    <r>
      <rPr>
        <sz val="10"/>
        <rFont val="Arial"/>
        <family val="2"/>
        <charset val="238"/>
      </rPr>
      <t xml:space="preserve"> Debljine zidova su 20 i 25 cm - ovisno o poziciji u građevini. Na svakom radnom prekidu ispod razine tla ugraditi traku za sprječavanje prolaza vode, što treba uključiti u cijenu izvedbe. Cijena uključuje dobavu i ugradnju svog potrebnog materijala do potpune gotovosti.</t>
    </r>
  </si>
  <si>
    <r>
      <t xml:space="preserve">spušteni strop </t>
    </r>
    <r>
      <rPr>
        <b/>
        <sz val="10"/>
        <rFont val="Arial"/>
        <family val="2"/>
        <charset val="238"/>
      </rPr>
      <t>D112 - 1x12,5 (DF)</t>
    </r>
  </si>
  <si>
    <r>
      <rPr>
        <b/>
        <sz val="10"/>
        <rFont val="Arial"/>
        <family val="2"/>
        <charset val="238"/>
      </rPr>
      <t xml:space="preserve">Dobava materijala i izrada gipskartonskog pregradnog zida GK (A/H2) pločama </t>
    </r>
    <r>
      <rPr>
        <sz val="10"/>
        <rFont val="Arial"/>
        <family val="2"/>
        <charset val="238"/>
      </rPr>
      <t>– ukupne debljine 10 cm, debljina izolacije 50 mm.  Izvedba sukladno tehničkoj uputi proizvođača. Obrada spojeva ploča u kvaliteti K2.
Oblaganje zida: jedna strana 2x1,25 ploča (H2), druga strana 2x1,25 ploča (A). Potkonstrukcija CW/MW50, te mineralna vuna prema HRN EN 13162. Rw&gt;54 dB. 
Dobava komplet materijala i izrada pregradnog zida uključivo i UA profile oko otvora, obračun po m² izvedenog zida.</t>
    </r>
  </si>
  <si>
    <r>
      <rPr>
        <b/>
        <sz val="10"/>
        <rFont val="Arial"/>
        <family val="2"/>
        <charset val="238"/>
      </rPr>
      <t xml:space="preserve">Dobava materijala i izrada gipskartonskog pregradnog zida GK (A) pločama </t>
    </r>
    <r>
      <rPr>
        <sz val="10"/>
        <rFont val="Arial"/>
        <family val="2"/>
        <charset val="238"/>
      </rPr>
      <t>– ukupne debljine 10 cm, debljina izolacije 50 mm.  Izvedba sukladno tehničkoj uputi proizvođača. Obrada spojeva ploča u kvaliteti K2.
Oblaganje zida: jedna strana 2x1,25 ploča (A), druga strana 2x1,25 ploča (A). Potkonstrukcija CW/MW50, te mineralna vuna prema HRN EN 13162. Rw&gt;54 dB. 
Dobava komplet materijala i izrada pregradnog zida uključivo i UA profile oko otvora, obračun po m² izvedenog zida.</t>
    </r>
  </si>
  <si>
    <t>Izrada i postava  aluminijske stijene. Sastoji od 3 segmenata od kojih su bočni fiksni, a srednji otklopno. Izrađeni su od aluminijskih profila kvalitete kao Wicona ili Schico (s prekinutim termičkim mostom)  sa svim potrebnim sidrenjima, opšavima do pune funkcionalnosti, debljine 86 mm, Uf= 1,3 W/m²K, ostakljenje dvoslojno staklo sa Low-e premazom Ug=1,1 W/m²K, ukupno Uw=1,3 W/m²K. U stavku uključen sav pričvrsni i spojni materijal. Napraviti sve prema shemi i detaljima. Napomena: Mjere provjeriti na licu mjesta</t>
  </si>
  <si>
    <r>
      <rPr>
        <b/>
        <sz val="9"/>
        <rFont val="Arial"/>
        <family val="2"/>
        <charset val="238"/>
      </rPr>
      <t xml:space="preserve">NAPOMENA: </t>
    </r>
    <r>
      <rPr>
        <sz val="9"/>
        <rFont val="Arial"/>
        <family val="2"/>
        <charset val="238"/>
      </rPr>
      <t>Izvedba aluminijske vanjske i unutarnje bravarije sukladno projektu građevinske fizike i zaštite od buke, te požarnom elaboratu s detaljnim ovjerenim shemama bravarije (vrsta ostakljenja i koeficijenti otvora, vrsta i dimenzija profila za izradu bravarije, okov, RAL boja/plastifikacija, način otvaranja, hidraulični zatvarač/pumpa, brava, kvaka/kugla/panik letva...). Gotove stavke moraju udovoljavati traženim uvjetima iz projektne dokumentacije.</t>
    </r>
  </si>
  <si>
    <t>Izrada, dostava i montaža kliznih vrata koja se sastoje  od kliznog punog krila sa zaokretnim vratima i fiksnog punog nadsvjetla s povratnim mehanizmom - pumpom za otvaranje/zatvaranje. Dovratnik i krila izrađeni od aluminijski profila za vrata. Obloga vrata drvena.</t>
  </si>
  <si>
    <t>Izrada, dostava i montaža kombinirane stijene s jednim zaokretnim ostakljenim vratima, fiksnim bočnim ostakljenjem i nadsvjetlom. Vrata su izrađena od aluminijskih profila kvalitete kao Wicona ili Schuco (s prekinutim termičkim mostom) sa svim potrebnim sidrenjima, opšavima do pune funkcionalnosti, debljine 86 mm. U stavku uključen sav pričvrsni i spojni materijal i okov. Napraviti sve prema shemi i detaljima.
Napomena: Mjere provjeriti na licu mjesta.</t>
  </si>
  <si>
    <t>Izrada, dostava i montaža kombinirane stijene s jednim zaokretnim ostakljenim vratima, fiksnim bočnim ostakljenjem Vrata su izrađena od aluminijskih profila kvalitete kao Wicona ili Schuco (s prekinutim termičkim mostom) sa svim potrebnim sidrenjima, opšavima do pune funkcionalnosti, debljine 86 mm. U stavku uključen sav pričvrsni i spojni materijal i okov. Napraviti sve prema shemi i detaljima.
Napomena: Mjere provjeriti na licu mjesta.</t>
  </si>
  <si>
    <t xml:space="preserve">Izrada i montaža krila punih, glatkih, četverokrilnih harmonika vrata - ovješena krilo na krilo. Krila su drvena, završni izgled krila hrastov furnir koji je lakiran
mat lakom. Izgled, boju i teksturu vratiju uskladiti sa furniranim hrastovim zidnim oblogama u dvorani. Kompletno sa odgovarajućim okovom, okruglom kvakom
sa patent zaključavanjem te popravkom, brušenjem i ponovnim lakiranjem postojećeg dovratnika. Vrata dimenzija 300/200 cm. U svemu prema shemi i uputama
projektanta.
</t>
  </si>
  <si>
    <t>dimenzija 170x240 cm</t>
  </si>
  <si>
    <t>dimenzija 160x240 cm</t>
  </si>
  <si>
    <t>harmonika vrata 300x300 cm</t>
  </si>
  <si>
    <t>15.3.</t>
  </si>
  <si>
    <t>dimenzija 90x260 cm</t>
  </si>
  <si>
    <t>dimenzija 240x240 cm</t>
  </si>
  <si>
    <t>PODOPOLAGAČKI RADOVI</t>
  </si>
  <si>
    <t>RAZNI RADOVI I  UGRADNJE</t>
  </si>
  <si>
    <r>
      <rPr>
        <b/>
        <sz val="10"/>
        <rFont val="Arial"/>
        <family val="2"/>
        <charset val="238"/>
      </rPr>
      <t>Izrada nosivog sloja</t>
    </r>
    <r>
      <rPr>
        <sz val="10"/>
        <rFont val="Arial"/>
        <family val="2"/>
        <charset val="238"/>
      </rPr>
      <t xml:space="preserve"> </t>
    </r>
    <r>
      <rPr>
        <b/>
        <sz val="10"/>
        <rFont val="Arial"/>
        <family val="2"/>
        <charset val="238"/>
      </rPr>
      <t>(Ms≥60 MN/m2) od drobljenog kamenog materijala</t>
    </r>
    <r>
      <rPr>
        <sz val="10"/>
        <rFont val="Arial"/>
        <family val="2"/>
        <charset val="238"/>
      </rPr>
      <t xml:space="preserve">, najvećeg zrna 63 mm, debljine 25 cm.  U cijenu je uključena dobava materijala, utovar, prijevoz, i ugradnja (strojno razastiranje, planiranje i zbijanje do traženog modula stišljivosti ili stupnja zbijenosti) na uređenu i preuzetu podlogu. Obračun je po m3 ugrađenog materijala u zbijenom stanju. Izvedba, kontrola kakvoće i obračun prema OTU 5-01. </t>
    </r>
  </si>
  <si>
    <r>
      <rPr>
        <b/>
        <sz val="10"/>
        <rFont val="Arial"/>
        <family val="2"/>
        <charset val="238"/>
      </rPr>
      <t xml:space="preserve">Betoniranje temelja ogradnih zidova </t>
    </r>
    <r>
      <rPr>
        <sz val="10"/>
        <rFont val="Arial"/>
        <family val="2"/>
        <charset val="238"/>
      </rPr>
      <t>u dvostranoj oplati betonom C30/37.  Sve prema statičkom proračunu i nacrtima. Cijena uključuje dobavu i ugradnju svog potrebnog materijala do potpune gotovosti.</t>
    </r>
  </si>
  <si>
    <r>
      <rPr>
        <b/>
        <sz val="10"/>
        <rFont val="Arial"/>
        <family val="2"/>
        <charset val="238"/>
      </rPr>
      <t>Betoniranje AB ogradnih zidova debljine 25 cm visine cca 100cm</t>
    </r>
    <r>
      <rPr>
        <sz val="10"/>
        <rFont val="Arial"/>
        <family val="2"/>
        <charset val="238"/>
      </rPr>
      <t xml:space="preserve"> u glatkoj oplati. Cijena uključuje dobavu i ugradnju svog potrebnog materijala do potpune gotovosti.</t>
    </r>
  </si>
  <si>
    <t>armatura</t>
  </si>
  <si>
    <r>
      <rPr>
        <b/>
        <sz val="10"/>
        <rFont val="Arial"/>
        <family val="2"/>
        <charset val="238"/>
      </rPr>
      <t>Izrada rubnjaka od predgotovljenih elemenata tipskog poprečnog presjeka 15/25 i 8/20 cm iz betona klase C40/45 na betonskoj podlozi iz betona C12/15.</t>
    </r>
    <r>
      <rPr>
        <sz val="10"/>
        <rFont val="Arial"/>
        <family val="2"/>
        <charset val="238"/>
      </rPr>
      <t xml:space="preserve"> Obračun je po m´ izvedenog rubnjaka, a u cijenu je uključena izvedba podloge i temelja, nabava predgotovljenih elemenata i betona, privremeno uskladištenje  i razvoz, svi prijevozi i prijenosi, priprema obloge, rad na ugradnji s obradom sljubnica, njege betona te sav pomoćni rad i materijali.Izvedba, kontrola kakvoće i obračun oprema Općim tehničkim uvjetima za radove na cestama, IGH 2001. (OTU), 1. i 3. Poglavlje; odredba 3-04.7.1. </t>
    </r>
  </si>
  <si>
    <t>parkovni rubnjak 8/20 cm</t>
  </si>
  <si>
    <t>cestovni rubnjak 15/25 cm</t>
  </si>
  <si>
    <r>
      <rPr>
        <b/>
        <sz val="10"/>
        <rFont val="Arial"/>
        <family val="2"/>
        <charset val="238"/>
      </rPr>
      <t>Dobava, nasipavanje i razastiranje plodne humusne zemlje</t>
    </r>
    <r>
      <rPr>
        <sz val="10"/>
        <rFont val="Arial"/>
        <family val="2"/>
        <charset val="238"/>
      </rPr>
      <t xml:space="preserve"> na površinama predviđenim za nasade.
Obračun po m</t>
    </r>
    <r>
      <rPr>
        <vertAlign val="superscript"/>
        <sz val="10"/>
        <rFont val="Arial"/>
        <family val="2"/>
        <charset val="238"/>
      </rPr>
      <t>3</t>
    </r>
    <r>
      <rPr>
        <sz val="10"/>
        <rFont val="Arial"/>
        <family val="2"/>
        <charset val="238"/>
      </rPr>
      <t xml:space="preserve"> izvedenog nasipa.</t>
    </r>
  </si>
  <si>
    <r>
      <rPr>
        <b/>
        <sz val="10"/>
        <rFont val="Arial"/>
        <family val="2"/>
        <charset val="238"/>
      </rPr>
      <t xml:space="preserve">Dobava i polaganje betonskih opločnika </t>
    </r>
    <r>
      <rPr>
        <sz val="10"/>
        <rFont val="Arial"/>
        <family val="2"/>
        <charset val="238"/>
      </rPr>
      <t>(elementi tipske betonske galanterije). Opločnici od tlačenog betona ili sl. završne obrade i boje prema izboru projektanta/inv.  Površinski sloj mora zadovoljavati uvjete čvrstoće na cijepanje i habanje, otpornosti na smrzavanje i soli za posipanje tla prema EU normi HRN EN 1338.  Postavljaju se na prethodno izvedeni beton u padu ljepljenjem slojem građevinskog ljepila. U cijenu uključiti potrebni rad i materijal do potpunog dovršenja.</t>
    </r>
  </si>
  <si>
    <t>opločnici na sloju rizle</t>
  </si>
  <si>
    <t>betonski opločnici u ljepilu</t>
  </si>
  <si>
    <t>3.16.</t>
  </si>
  <si>
    <t>3.17.</t>
  </si>
  <si>
    <r>
      <t xml:space="preserve">Zatrpavanje materijalom iz iskopa </t>
    </r>
    <r>
      <rPr>
        <sz val="10"/>
        <rFont val="Arial"/>
        <family val="2"/>
        <charset val="238"/>
      </rPr>
      <t>oko temelja. Debljina slojeva pri zbijanju mora odgovarati vrsti materijala i primijenjenom stroju za zbijanje, kako bi se osigurala mogućnost postizanja tražene zbijenosti po cijeloj dubini.</t>
    </r>
  </si>
  <si>
    <t>5.2.</t>
  </si>
  <si>
    <t>8.6.</t>
  </si>
  <si>
    <t>19. OKOLIŠ</t>
  </si>
  <si>
    <r>
      <rPr>
        <b/>
        <sz val="10"/>
        <rFont val="Arial"/>
        <family val="2"/>
        <charset val="238"/>
      </rPr>
      <t>Betoniranje AB prilaznih rampi betonom C25//30</t>
    </r>
    <r>
      <rPr>
        <sz val="10"/>
        <rFont val="Arial"/>
        <family val="2"/>
        <charset val="238"/>
      </rPr>
      <t xml:space="preserve"> u potrebnoj oplati. Cijena uključuje dobavu i ugradnju svog potrebnog materijala do potpune gotovosti.</t>
    </r>
  </si>
  <si>
    <t>dimenzija 100x130 cm</t>
  </si>
  <si>
    <t>dimenzija 165x75</t>
  </si>
  <si>
    <r>
      <rPr>
        <b/>
        <sz val="10"/>
        <rFont val="Arial"/>
        <family val="2"/>
        <charset val="238"/>
      </rPr>
      <t>Dobava, nasipavanje i razastiranje šljunka veličine zrna 3-16 mm u sloju debljine 5 cm</t>
    </r>
    <r>
      <rPr>
        <sz val="10"/>
        <rFont val="Arial"/>
        <family val="2"/>
        <charset val="238"/>
      </rPr>
      <t xml:space="preserve"> (cca 80 kg/m</t>
    </r>
    <r>
      <rPr>
        <vertAlign val="superscript"/>
        <sz val="10"/>
        <rFont val="Arial"/>
        <family val="2"/>
      </rPr>
      <t>2</t>
    </r>
    <r>
      <rPr>
        <sz val="10"/>
        <rFont val="Arial"/>
        <family val="2"/>
        <charset val="238"/>
      </rPr>
      <t>) na prethodno pripremljenu pdodlogu u skladu s lokalnim uvjetima I očekivanim opterećenjem.
Obračun po m</t>
    </r>
    <r>
      <rPr>
        <vertAlign val="superscript"/>
        <sz val="10"/>
        <rFont val="Arial"/>
        <family val="2"/>
        <charset val="238"/>
      </rPr>
      <t>2</t>
    </r>
    <r>
      <rPr>
        <sz val="10"/>
        <rFont val="Arial"/>
        <family val="2"/>
        <charset val="238"/>
      </rPr>
      <t xml:space="preserve"> izvedenog šljunčane površine</t>
    </r>
  </si>
  <si>
    <t>šljunčane površine</t>
  </si>
  <si>
    <t>urbana oprema</t>
  </si>
  <si>
    <r>
      <t>Dobava i ugradnja klupe za sjedenje bez naslona</t>
    </r>
    <r>
      <rPr>
        <sz val="10"/>
        <rFont val="Arial"/>
        <family val="2"/>
      </rPr>
      <t xml:space="preserve"> na prethodno pripremljenom betonskom temelju. Klupa za sjedenje ima nosivu konstrukciju od toplo pocinčane i bojane cijevi koja se sidri u betonski temelj. Ploha za sjedenje je od drvenih greda 95/45 mm. Drveni elementi moraju biti žaštićeni vodootpornom zaštitom koja ne sadrži škodljive komponente i neopasne za ljude.
Dimenzije klupe 160/55/46 cm
Boja klupe je boja drva.
Rad uključuje dobavu, dopremu i ugradnju klupe.</t>
    </r>
  </si>
  <si>
    <t>Obračun po komadu komplet ugrađene klupe</t>
  </si>
  <si>
    <t>Obračun po komadu komplet ugrađenog koša</t>
  </si>
  <si>
    <r>
      <t>Dobava i ugradnja koša za otpatke</t>
    </r>
    <r>
      <rPr>
        <sz val="10"/>
        <rFont val="Arial"/>
        <family val="2"/>
      </rPr>
      <t xml:space="preserve"> na prethodno pripremljen temelj. Koš za otpatke sastoji se od stupa (okvira) od cijevnog profila, posude za smeće i pepeljare koji se izrađuju od vruće cinčanog i bojanog metala. Zapremnina koša min 35 lit. uz mogućnost umetanja standardnih vrećica. Boja koša zelena, RAL 6005.
Rad uključuje dobavu, dopremu i ugradnju koša za otpatke.</t>
    </r>
  </si>
  <si>
    <r>
      <t xml:space="preserve">Dobava i ugradnja metalnog stalka za bicikle. </t>
    </r>
    <r>
      <rPr>
        <sz val="10"/>
        <rFont val="Arial"/>
        <family val="2"/>
      </rPr>
      <t>Konstrunkcija je izvedena od toplo cinčanog i bojanog čelika. Pohrana do 5 bicikala debljine guma do 55 mm. Pričvršćenje u pod. Boja konstrukcije antracit, RAL 7016.
Rad uključuje dobavu, dopremu i ugradnju stalka za bicikle</t>
    </r>
  </si>
  <si>
    <t xml:space="preserve">Obračun po kompletu ugrađenog stalka </t>
  </si>
  <si>
    <r>
      <t>Obračun po m</t>
    </r>
    <r>
      <rPr>
        <vertAlign val="superscript"/>
        <sz val="10"/>
        <rFont val="Arial"/>
        <family val="2"/>
      </rPr>
      <t>1</t>
    </r>
    <r>
      <rPr>
        <sz val="10"/>
        <rFont val="Arial"/>
        <family val="2"/>
      </rPr>
      <t xml:space="preserve"> postavljene ograde. </t>
    </r>
  </si>
  <si>
    <t>18.3.</t>
  </si>
  <si>
    <t>vrata jednokrilna samonosiva 100x100</t>
  </si>
  <si>
    <t>vrata dvokrilna samonosiva 220x100</t>
  </si>
  <si>
    <t>18.4.</t>
  </si>
  <si>
    <t xml:space="preserve">Izrada, dostava i montaža čelične ograde dvorišta, izrađene od horizontalnih i vertikalnih čeličnih profila, vruče pocinčanih i bojanih u boji prema odabiru projektanta tako da zadovoljavaju projektom propisane zahtjeve, a sve prema ovjerenim shemama bravarije. </t>
  </si>
  <si>
    <t>Dobava, doprema i ugradnja čeličnih vrata na mjestima gdje je definirao projektant, sa svim potrebitim elementima okova, nosečih stupova so potpune gotovosti. Vrata su čelična, vruče pocinčana i bojana u boji  prema odabiru projektanta. Ispuna okvira  kao i ograda. U cijenu uključeni svi radovi, sav potreban osnovni i pomoćni materijal do potpune gotovosti.</t>
  </si>
  <si>
    <t>ograda dvorišta</t>
  </si>
  <si>
    <t>ograde lođa, prozora i dvorišta</t>
  </si>
  <si>
    <r>
      <rPr>
        <b/>
        <sz val="10"/>
        <rFont val="Arial"/>
        <family val="2"/>
        <charset val="238"/>
      </rPr>
      <t xml:space="preserve">Betoniranje temelja samaca ogradnih stupova dim 30x30 cm minimalne visine 50 cm </t>
    </r>
    <r>
      <rPr>
        <sz val="10"/>
        <rFont val="Arial"/>
        <family val="2"/>
        <charset val="238"/>
      </rPr>
      <t>u oplati betonom C30/37.  Sve prema  nacrtima i projektu. Cijena uključuje dobavu i ugradnju svog potrebnog materijala do potpune gotovosti.</t>
    </r>
  </si>
  <si>
    <t>temelji samci</t>
  </si>
  <si>
    <r>
      <rPr>
        <b/>
        <sz val="10"/>
        <rFont val="Arial"/>
        <family val="2"/>
      </rPr>
      <t>Izvedba panelne žičane ograde od prefabriciranih panela</t>
    </r>
    <r>
      <rPr>
        <sz val="10"/>
        <rFont val="Arial"/>
        <family val="2"/>
        <charset val="238"/>
      </rPr>
      <t xml:space="preserve"> širine cca. 250 cm, visine cca. 100 cm. Svi elementi panelne ograde: paneli, stupovi i ostala oprema moraju biti zaštićeni protiv korozije, a panelna žičana ograda postavlja se prema lokacijama u projektu. Jedinična cijena obuhvaća nabavu, prijevoz i postavljanje svih elemenata panelne žičane ograde, izradu pričvršćenja stupova na zidove ili pojedinačne temelje, te sav ostali rad, opremu i materijal potreban za potpuno dovršenje stavke po uvjetima iz projekta. </t>
    </r>
  </si>
  <si>
    <t>KAMENARSAKI RADOVI</t>
  </si>
  <si>
    <t>- akrilatna žbuka 0,3 cm</t>
  </si>
  <si>
    <t>ETICS fasada - završna akrilatna žbuka</t>
  </si>
  <si>
    <t>ETICS fasada - završno akrilatna žbuka</t>
  </si>
  <si>
    <r>
      <rPr>
        <b/>
        <sz val="10"/>
        <rFont val="Arial"/>
        <family val="2"/>
        <charset val="238"/>
      </rPr>
      <t>Dobava materijala i obrada zidova s fasadnim sustavom bez izolacija.</t>
    </r>
    <r>
      <rPr>
        <sz val="10"/>
        <rFont val="Arial"/>
        <family val="2"/>
        <charset val="238"/>
      </rPr>
      <t xml:space="preserve"> Rad se sastoji od pripreme podloge, postave kutnih i okapnih profila s mrežicom, postave alkalno otporne mrežice u sloj polimer cementnog ljepila, gletanja. Ploha treba biti ravna (max odstupanje u ravnini plohe 2mm mjereno letvom dužine 3m), s uredno izvedenim završnim akrilatnim slojem.  U cijenu je uključen sav materijal i rad uključivo tipske kutne i okapne profile, kao i dilatacijske profile za pokretne fuge uz obveznu  zaštitu keramike, bravarije, PVC stolarije, klupčica i okapa, tj. sve potrebno za kompletno dovršenje stavki. Obračun radova opisan u općim uvjetima .</t>
    </r>
  </si>
  <si>
    <r>
      <rPr>
        <b/>
        <sz val="10"/>
        <rFont val="Arial"/>
        <family val="2"/>
        <charset val="238"/>
      </rPr>
      <t>Dobava materijala i izrada toplinske fasade  ETICS sustav</t>
    </r>
    <r>
      <rPr>
        <sz val="10"/>
        <rFont val="Arial"/>
        <family val="2"/>
        <charset val="238"/>
      </rPr>
      <t xml:space="preserve"> sukladno HRN EN 13499  sa završnom obradom, uz prethodne radnje po uputama proizvođača.   Termoizolacija zidova i podgleda izvodi se od ploča ili lamela kamene vune namjenjenih ugradnji u ETICS sustave,</t>
    </r>
    <r>
      <rPr>
        <b/>
        <sz val="10"/>
        <rFont val="Arial"/>
        <family val="2"/>
        <charset val="238"/>
      </rPr>
      <t xml:space="preserve"> debljine d=10cm</t>
    </r>
    <r>
      <rPr>
        <sz val="10"/>
        <rFont val="Arial"/>
        <family val="2"/>
        <charset val="238"/>
      </rPr>
      <t>. U cijenu je uključen sav materijal i rad uključivo tipske kutne i okapne profile, kao i dilatacijske profile za pokretne fuge uz obveznu  zaštitu keramike, bravarije, PVC stolarije, klupčica i okapa, tj. sve potrebno za kompletno dovršenje stavki. Obračun radova opisan u općim uvjetima .</t>
    </r>
  </si>
  <si>
    <t>19.1.</t>
  </si>
  <si>
    <t>19.2.</t>
  </si>
  <si>
    <t>19.3.</t>
  </si>
  <si>
    <t>19.4.</t>
  </si>
  <si>
    <t>19.5.</t>
  </si>
  <si>
    <t>19.6.</t>
  </si>
  <si>
    <t>19.7.</t>
  </si>
  <si>
    <t>19.8.</t>
  </si>
  <si>
    <t>19.9.</t>
  </si>
  <si>
    <t>19.10.</t>
  </si>
  <si>
    <t>19.11.</t>
  </si>
  <si>
    <t>19.12.</t>
  </si>
  <si>
    <t>19.13.</t>
  </si>
  <si>
    <t>19.14.</t>
  </si>
  <si>
    <t>20. RAZNI RADOVI, DOBAVE I UGRADNJE</t>
  </si>
  <si>
    <t>I</t>
  </si>
  <si>
    <t>Dim.</t>
  </si>
  <si>
    <t>Kol.</t>
  </si>
  <si>
    <t>Jedinična cijena</t>
  </si>
  <si>
    <t>Ukupna cijena</t>
  </si>
  <si>
    <t>ISKOLČENJE TRASE SUSTAVA  I OBJEKATA</t>
  </si>
  <si>
    <r>
      <t xml:space="preserve"> Iskolčenje trase i objekata obuhvaća sva geodetska mjerenje, kojima se podaci iz projekta prenose na teren ili s terena u projekte, osiguranje osi iskolčene trase, profiliranje, obnavljanje i održavanje iskolčenih oznaka na terenu za sve vrijeme građenja, odnosno do predaje radova investitoru. Izvođač je dužan sve točke osigurati položajno i visinski tako da ih je u tijeku ili po završenom radu moguće lako obnoviti. Prije početka iskopa izvođač je dužan navedeni plan iskolčenja predati nadzornom inženjeru na uvid radi kontrole ispravnosti postupka. Izvođač ne smije početi sa radovima prije nego što dobije suglasnost nadzornog inženjera na ovu dokumentaciju. Iskolčenje trase provesti na temelju podataka iz projekta.  Cijena obuhvaća i izradu elaborata iskolčenja te geodetske snimke izvedenog stanja s prijavom nadležnom uredu za katastarske poslove. Stavkom obuhvaćeno cijelo cestovno zemljište (cesta, manipulativne površine, nogostupi, odvodnja,...)</t>
    </r>
    <r>
      <rPr>
        <i/>
        <sz val="10"/>
        <rFont val="Arial Narrow"/>
        <family val="2"/>
        <charset val="238"/>
      </rPr>
      <t xml:space="preserve"> </t>
    </r>
    <r>
      <rPr>
        <sz val="10"/>
        <rFont val="Arial Narrow"/>
        <family val="2"/>
        <charset val="238"/>
      </rPr>
      <t xml:space="preserve">
</t>
    </r>
    <r>
      <rPr>
        <i/>
        <sz val="11"/>
        <rFont val="Times New Roman"/>
        <family val="1"/>
        <charset val="238"/>
      </rPr>
      <t/>
    </r>
  </si>
  <si>
    <t>oborinska kanalizacija</t>
  </si>
  <si>
    <t>m'</t>
  </si>
  <si>
    <t>fekalna kanalizacija</t>
  </si>
  <si>
    <t>oborinska kanalizacija (zauljena)</t>
  </si>
  <si>
    <t>1.4.</t>
  </si>
  <si>
    <t>voda</t>
  </si>
  <si>
    <t>1.5.</t>
  </si>
  <si>
    <t>hidrantska mreža</t>
  </si>
  <si>
    <t>1.6.</t>
  </si>
  <si>
    <t>revizijska okna oborinske kanalizacije</t>
  </si>
  <si>
    <t>1.7.</t>
  </si>
  <si>
    <t>revizijska okna oborinske kanalizacije (zauljena)</t>
  </si>
  <si>
    <t>1.8.</t>
  </si>
  <si>
    <t>revizijsko okno fekalne kanalizacije</t>
  </si>
  <si>
    <t>1.9.</t>
  </si>
  <si>
    <t>vodomjerno okno</t>
  </si>
  <si>
    <t>1.10.</t>
  </si>
  <si>
    <t>sabirna jama</t>
  </si>
  <si>
    <t>1.11.</t>
  </si>
  <si>
    <t>upojni bunar</t>
  </si>
  <si>
    <t>1.12.</t>
  </si>
  <si>
    <t>separator lakih tekućina</t>
  </si>
  <si>
    <t>PRIPREMNI RADOVI UKUPNO Kn</t>
  </si>
  <si>
    <t>II</t>
  </si>
  <si>
    <t>STROJNI ISKOP ROVOVA ZA REVIZIJSKA OKNA, SABIRNE JAME UPOJNE BUNARE I VODOMJERNO OKNO</t>
  </si>
  <si>
    <t>Strojni iskop u terenu C kategorije za vodomjerno okno, reviziono okna fekalne odvodnje te sabirne jame uz odlaganje materijala na određenu udaljenost do 60 m. Na mjestima gdje se otkriju elektro i druge instalacije potrebno je vršiti ručni iskop kako se instalacije ne bi oštetile, odnosno u potpunosti postupiti prema Prethodnoj elektroenergetskoj suglasnosti.</t>
  </si>
  <si>
    <r>
      <t>Obračun po m</t>
    </r>
    <r>
      <rPr>
        <vertAlign val="superscript"/>
        <sz val="10"/>
        <rFont val="Arial Narrow"/>
        <family val="2"/>
        <charset val="238"/>
      </rPr>
      <t>3</t>
    </r>
    <r>
      <rPr>
        <sz val="10"/>
        <rFont val="Arial Narrow"/>
        <family val="2"/>
        <charset val="238"/>
      </rPr>
      <t xml:space="preserve"> iskopanog materijala.</t>
    </r>
  </si>
  <si>
    <t>upojni bunari</t>
  </si>
  <si>
    <r>
      <t>m</t>
    </r>
    <r>
      <rPr>
        <vertAlign val="superscript"/>
        <sz val="10"/>
        <rFont val="Arial Narrow"/>
        <family val="2"/>
        <charset val="238"/>
      </rPr>
      <t>3</t>
    </r>
  </si>
  <si>
    <t>Zatrpavanje materijalom iz iskopa oko upojnih bunara te revizionih okana i vodomjera uz nabijanje u slojevima.</t>
  </si>
  <si>
    <t>Utovar i odvoz viška iskopa na deponiju do 10 km.</t>
  </si>
  <si>
    <t xml:space="preserve">Obračun po m3 </t>
  </si>
  <si>
    <t>ISKOP ROVA ZA CIJEVI FEKALNE ODVODNJE, HIDRANTSKE MREŽE TE CIJEVI VODOVODNE  MREŽE .</t>
  </si>
  <si>
    <t xml:space="preserve">Stavka uključuje i eventualno potrebno razupiranje rova, što će se odrediti na licu mjesta za vrijeme iskopa, u ovisnosti o kategoriji tla i uz suglasnost nadzornog inženjera.  Dubina rova  od  cca 0.85 - 1.30m prema uzdužnom profilu, a širina rova od cca 0.5-1.10 m . Obračun količina se vrši po stvarno izvedenom iskopu, ali do dimenzija predviđenih u projektu odnosno odluci nadzornog inženjera. </t>
  </si>
  <si>
    <t>Obračun po m3 iskopanog materijala.</t>
  </si>
  <si>
    <t>PLANIRANJE I KONTROLA DNA ROVA CJEVOVODA</t>
  </si>
  <si>
    <t>Planiranje i kontrola dna rova cjevovoda prema projektiranoj širini i uzdužnom padu dna rova. Dno rova mora biti isplanirano na točnost +/- 2 cm i mora biti dovoljne zbijenost. Stavkom je predviđeno otesavanje, planiranje i djelomično nabijanje dna rova s izbacivanjem suvišnog materijala iz rova na udaljenost min 1 m od ruba rova. Ako dođe do prekopa treba ga ispuniti tamponom i nabiti vibronabijačima.</t>
  </si>
  <si>
    <r>
      <t>Obračun po m</t>
    </r>
    <r>
      <rPr>
        <vertAlign val="superscript"/>
        <sz val="10"/>
        <rFont val="Arial Narrow"/>
        <family val="2"/>
        <charset val="238"/>
      </rPr>
      <t>2</t>
    </r>
    <r>
      <rPr>
        <sz val="10"/>
        <rFont val="Arial Narrow"/>
        <family val="2"/>
        <charset val="238"/>
      </rPr>
      <t>.</t>
    </r>
  </si>
  <si>
    <r>
      <t>m</t>
    </r>
    <r>
      <rPr>
        <vertAlign val="superscript"/>
        <sz val="10"/>
        <rFont val="Arial Narrow"/>
        <family val="2"/>
        <charset val="238"/>
      </rPr>
      <t>2</t>
    </r>
  </si>
  <si>
    <t>IZRADA POSTELJICE</t>
  </si>
  <si>
    <t>Nabava, doprema, raznošenje, ubacivanje, grubo i fino planiranje te nabijanje posteljice od sitnozrnatog materijala maksimalne veličine zrna 8 mm za izradu posteljice cijevi u debljini od 10 cm i obloge cjevovoda do visine 30 cm iznad tjemena cijevi. Cijevi moraju ravnomjerno nalijegati na posteljicu čitavom dužinom, a na mjestu spojeva treba ostaviti udubljenje za izradu spojeva.  Radove u svemu izvesti prema uvjetima koje zahtjeva proizvođač cijevi.</t>
  </si>
  <si>
    <t>Obračun po m3 materijala u sabijenom stanju</t>
  </si>
  <si>
    <t>ZATRPAVANJE ROVA ZA CIJEVI FEKALNE ODVODNJE, VODOVODNE MREŽE TE CIJEVI HIDRANTSKE MREŽE .</t>
  </si>
  <si>
    <r>
      <t>Zatrpavanje rova materijalom iz iskopa. Pijesak se koristi za posteljicu na koji se polaže cijev, zatim za zatrpavanje bočnih strana između cijevi i rova te se s pijeskom rov puni do 30 cm iznad tjemena cijevi. Na mjestima ispod kolničke konstrukcije manipulativne parkirne površine, rov se obavezno puni pijeskom skroz do posteljice kolničke konstrukcije</t>
    </r>
    <r>
      <rPr>
        <i/>
        <sz val="10"/>
        <rFont val="Arial Narrow"/>
        <family val="2"/>
        <charset val="238"/>
      </rPr>
      <t>.</t>
    </r>
    <r>
      <rPr>
        <sz val="10"/>
        <rFont val="Arial Narrow"/>
        <family val="2"/>
        <charset val="238"/>
      </rPr>
      <t xml:space="preserve">Na mjestu gdje rov prolazi ispod parking kolničke konstrukcije, moguće je rov zasipati materijalom iz iskopa, s tim da je maksimalno zrno materijala za zasipavanje Dmax = 63 mm. Na mjestima gdje se rov ne nalazi u kolničkoj konstrukciji, rov se ispunjava zemljom iz iskopa. Ukoliko se rov ispod kolničke konstrukcije zapunjava materijalom iz iskopa, nadzorni inženjer mora odobriti predloženi način zasipavanja i zbijanja. Rad obuhvaća razastiranje i planiranje materijala u slojevima, sabijanje laganim sredstvima za sabijanje tla ili ručno nabijačima. Traženi modul stišljivosti na nivou posteljice iznosi Ms≥35MN/m2 za miješani materijal ili  Ms≥40MN/m2  za pijesak uz stupanj zbijenosti Sz≥100%. </t>
    </r>
  </si>
  <si>
    <r>
      <t>Obračun po m</t>
    </r>
    <r>
      <rPr>
        <vertAlign val="superscript"/>
        <sz val="10"/>
        <rFont val="Arial Narrow"/>
        <family val="2"/>
        <charset val="238"/>
      </rPr>
      <t>3</t>
    </r>
    <r>
      <rPr>
        <sz val="10"/>
        <rFont val="Arial Narrow"/>
        <family val="2"/>
        <charset val="238"/>
      </rPr>
      <t xml:space="preserve">  profila izvedenog nasipa.</t>
    </r>
  </si>
  <si>
    <t>m3</t>
  </si>
  <si>
    <t>ODVOZ VIŠKA MATERIJALA</t>
  </si>
  <si>
    <t xml:space="preserve">Odvoz viška materijala nakon zatrpavanja rovova, na stalnu deponiju na udaljenost &gt; 5 km te deponiranje materijala iskopa. Materijal odvesti na deponiju koju odredi nadzorni inženjer u dogovoru s investitorom i nadležnom općinskom službom. U jediničnu cijenu uračunat utovar, prijevoz do mjesta deponije te istovar i grubo planiranje na deponiji. </t>
  </si>
  <si>
    <r>
      <t>Obračun po m</t>
    </r>
    <r>
      <rPr>
        <vertAlign val="superscript"/>
        <sz val="10"/>
        <rFont val="Arial Narrow"/>
        <family val="2"/>
        <charset val="238"/>
      </rPr>
      <t>3</t>
    </r>
    <r>
      <rPr>
        <sz val="10"/>
        <rFont val="Arial Narrow"/>
        <family val="2"/>
        <charset val="238"/>
      </rPr>
      <t xml:space="preserve"> sraslog materijala.</t>
    </r>
  </si>
  <si>
    <t>ZEMLJANI RADOVI UKUPNO Kn</t>
  </si>
  <si>
    <t>III</t>
  </si>
  <si>
    <t>BETONSKI I ARMIRANO BETONSKI RADOVI</t>
  </si>
  <si>
    <t>jed. 
mjere</t>
  </si>
  <si>
    <t>jedinična cijena</t>
  </si>
  <si>
    <t>ukupna cijena</t>
  </si>
  <si>
    <t>SABIRNA JAMA</t>
  </si>
  <si>
    <r>
      <t xml:space="preserve">Nabava, doprema i ugradnja betona za </t>
    </r>
    <r>
      <rPr>
        <b/>
        <sz val="10"/>
        <rFont val="Arial Narrow"/>
        <family val="2"/>
        <charset val="238"/>
      </rPr>
      <t>donju ploču sabirne jame</t>
    </r>
    <r>
      <rPr>
        <sz val="10"/>
        <rFont val="Arial Narrow"/>
        <family val="2"/>
        <charset val="238"/>
      </rPr>
      <t xml:space="preserve"> d=25cm.  Beton C 30/37 s aditivom za vodonepropusnost kao antikorodin cementol TKK. </t>
    </r>
  </si>
  <si>
    <t xml:space="preserve">beton </t>
  </si>
  <si>
    <r>
      <t xml:space="preserve">Nabava, doprema i ugradnja betona za AB </t>
    </r>
    <r>
      <rPr>
        <b/>
        <sz val="10"/>
        <rFont val="Arial Narrow"/>
        <family val="2"/>
        <charset val="238"/>
      </rPr>
      <t>zidove  sabirne jame</t>
    </r>
    <r>
      <rPr>
        <sz val="10"/>
        <rFont val="Arial Narrow"/>
        <family val="2"/>
        <charset val="238"/>
      </rPr>
      <t xml:space="preserve"> d=25cm.  Beton C 30/37 s aditivom za vodonepropusnost kao antikorodin cementol TKK. </t>
    </r>
  </si>
  <si>
    <t>beton</t>
  </si>
  <si>
    <r>
      <t>Nabava, doprema i ugradnja betona za</t>
    </r>
    <r>
      <rPr>
        <b/>
        <sz val="10"/>
        <rFont val="Arial Narrow"/>
        <family val="2"/>
        <charset val="238"/>
      </rPr>
      <t xml:space="preserve"> AB gornju ploču  sabirne jame</t>
    </r>
    <r>
      <rPr>
        <sz val="10"/>
        <rFont val="Arial Narrow"/>
        <family val="2"/>
        <charset val="238"/>
      </rPr>
      <t xml:space="preserve"> d=20 cm. Beton sa aditivima za vodonepropusnost, C30/37.</t>
    </r>
  </si>
  <si>
    <t>VODOMJERNO OKNO</t>
  </si>
  <si>
    <r>
      <t xml:space="preserve">NAPOMENA: </t>
    </r>
    <r>
      <rPr>
        <u/>
        <sz val="10"/>
        <rFont val="Arial Narrow"/>
        <family val="2"/>
        <charset val="238"/>
      </rPr>
      <t>Mikrolokaciju i stvarne mjere vodomjernog okna određuje lokalni distributer vode.</t>
    </r>
  </si>
  <si>
    <t>Izvedba betonske podloge betonom C 16/20, d=10 cm ispod AB ploče vodomjernog okna</t>
  </si>
  <si>
    <r>
      <t xml:space="preserve">Nabava, doprema i ugradnja betona za </t>
    </r>
    <r>
      <rPr>
        <b/>
        <sz val="10"/>
        <rFont val="Arial Narrow"/>
        <family val="2"/>
        <charset val="238"/>
      </rPr>
      <t>donju ploču vodomjernog okna</t>
    </r>
    <r>
      <rPr>
        <sz val="10"/>
        <rFont val="Arial Narrow"/>
        <family val="2"/>
        <charset val="238"/>
      </rPr>
      <t xml:space="preserve"> d=20cm.  Beton C 25/30 s aditivom za vodonepropusnost kao antikorodin cementol TKK. </t>
    </r>
  </si>
  <si>
    <r>
      <t xml:space="preserve">Nabava, doprema i ugradnja betona za AB </t>
    </r>
    <r>
      <rPr>
        <b/>
        <sz val="10"/>
        <rFont val="Arial Narrow"/>
        <family val="2"/>
        <charset val="238"/>
      </rPr>
      <t>zidove vodomjernog okna</t>
    </r>
    <r>
      <rPr>
        <sz val="10"/>
        <rFont val="Arial Narrow"/>
        <family val="2"/>
        <charset val="238"/>
      </rPr>
      <t xml:space="preserve"> d=25cm.  Beton C 25/30 s aditivom za vodonepropusnost kao antikorodin cementol TKK. </t>
    </r>
  </si>
  <si>
    <r>
      <t>Nabava, doprema i ugradnja betona za</t>
    </r>
    <r>
      <rPr>
        <b/>
        <sz val="10"/>
        <rFont val="Arial Narrow"/>
        <family val="2"/>
        <charset val="238"/>
      </rPr>
      <t xml:space="preserve"> AB gornju ploču  vodomjernog okna </t>
    </r>
    <r>
      <rPr>
        <sz val="10"/>
        <rFont val="Arial Narrow"/>
        <family val="2"/>
        <charset val="238"/>
      </rPr>
      <t xml:space="preserve"> d=15 cm. Beton C 25/30 s aditivima za vodonepropusnost kao antikorodin cementol TKK</t>
    </r>
  </si>
  <si>
    <t>UPOJNI BUNARI</t>
  </si>
  <si>
    <r>
      <t xml:space="preserve">Nabava, doprema i ugradnja betona za </t>
    </r>
    <r>
      <rPr>
        <b/>
        <sz val="10"/>
        <rFont val="Arial Narrow"/>
        <family val="2"/>
        <charset val="238"/>
      </rPr>
      <t>temelje upojnih bunara.</t>
    </r>
    <r>
      <rPr>
        <sz val="10"/>
        <rFont val="Arial Narrow"/>
        <family val="2"/>
        <charset val="238"/>
      </rPr>
      <t xml:space="preserve">   Beton C 25/30 . </t>
    </r>
  </si>
  <si>
    <r>
      <t xml:space="preserve">Nabava, doprema i ugradnja betona za AB </t>
    </r>
    <r>
      <rPr>
        <b/>
        <sz val="10"/>
        <rFont val="Arial Narrow"/>
        <family val="2"/>
        <charset val="238"/>
      </rPr>
      <t>zidove  upojnih bunara</t>
    </r>
    <r>
      <rPr>
        <sz val="10"/>
        <rFont val="Arial Narrow"/>
        <family val="2"/>
        <charset val="238"/>
      </rPr>
      <t xml:space="preserve"> d=25cm.  Beton C 25/30</t>
    </r>
  </si>
  <si>
    <r>
      <t>Nabava, doprema i ugradnja betona za</t>
    </r>
    <r>
      <rPr>
        <b/>
        <sz val="10"/>
        <rFont val="Arial Narrow"/>
        <family val="2"/>
        <charset val="238"/>
      </rPr>
      <t xml:space="preserve"> AB gornju ploču  upojnih bunara</t>
    </r>
    <r>
      <rPr>
        <sz val="10"/>
        <rFont val="Arial Narrow"/>
        <family val="2"/>
        <charset val="238"/>
      </rPr>
      <t xml:space="preserve"> d=25 cm. Beton C25/30.</t>
    </r>
  </si>
  <si>
    <r>
      <t xml:space="preserve">Nabava, doprema i ugradnja podložnog betona klase 12/15 za izvedbu </t>
    </r>
    <r>
      <rPr>
        <b/>
        <sz val="10"/>
        <rFont val="Arial Narrow"/>
        <family val="2"/>
        <charset val="238"/>
      </rPr>
      <t>temelja slivnika</t>
    </r>
    <r>
      <rPr>
        <sz val="10"/>
        <rFont val="Arial Narrow"/>
        <family val="2"/>
        <charset val="238"/>
      </rPr>
      <t>. Obračun po m</t>
    </r>
    <r>
      <rPr>
        <vertAlign val="superscript"/>
        <sz val="10"/>
        <rFont val="Arial Narrow"/>
        <family val="2"/>
        <charset val="238"/>
      </rPr>
      <t>3</t>
    </r>
  </si>
  <si>
    <t>Betoniranje betonske obloge oko i ispod betonskih cijevi slivnika betonom C 20/25</t>
  </si>
  <si>
    <r>
      <t>obračun po m</t>
    </r>
    <r>
      <rPr>
        <vertAlign val="superscript"/>
        <sz val="10"/>
        <rFont val="Arial Narrow"/>
        <family val="2"/>
        <charset val="238"/>
      </rPr>
      <t>3</t>
    </r>
  </si>
  <si>
    <r>
      <rPr>
        <b/>
        <sz val="10"/>
        <rFont val="Arial Narrow"/>
        <family val="2"/>
        <charset val="238"/>
      </rPr>
      <t xml:space="preserve">Betoniranje utega za kompenzaciju uzgona kod ugradnje separatora, </t>
    </r>
    <r>
      <rPr>
        <sz val="10"/>
        <rFont val="Arial Narrow"/>
        <family val="2"/>
        <charset val="238"/>
      </rPr>
      <t>beton C 20/25 – razred izloženosti XC4, XS1 - minimalno 300 kg cementa CEM I /m3 - max. 0,2 % CL. Sastav betona, granulacija agregata, te priprema i ugradnja betonske smjese mora u svemu odgovarati odredbama važećih propisa za betonske konstrukcije.
U cijenu betona uključena sva potrebna oplata, te rad i materijal potrebni za ugradnju betona strojno, na licu mjesta.</t>
    </r>
  </si>
  <si>
    <t>Dobava materijala, izrada montažne armiranobetonske ploče dimenzija 150x150 debljine 20 cm od betona C 30/37 (XC2, XD1) kao rasteretne pokrovne ploče revizijskih okana i samog rasteretnog prstena d=15 cm za montažu lijevanoželjeznog poklopca.
 U cijenu uračunat sav rad, materijal i njega betona. Obračun po komadu kompletno izvedenog i montiranog betonskog prstena.</t>
  </si>
  <si>
    <t>BETONSKI I AB RADOVI  UKUPNO Kn</t>
  </si>
  <si>
    <t>IV</t>
  </si>
  <si>
    <t>ARMIRAČKI RADOVI</t>
  </si>
  <si>
    <t xml:space="preserve">Nabava čeličnih šipki B-500B  rebrasti, ispravljanje, čišćenje, siječenje i savijanje, doprema na gradilišni deponij, unutrašnji transport, postavljanje i vezivanje;             </t>
  </si>
  <si>
    <t>Armaturne rebraste šipke, čelik B-500B.</t>
  </si>
  <si>
    <t>a) profila do f  12 mm</t>
  </si>
  <si>
    <t>b) profila od f  12 mm</t>
  </si>
  <si>
    <t>ARMIRAČKI RADOVI UKUPNO KUNA</t>
  </si>
  <si>
    <t>V</t>
  </si>
  <si>
    <t>IZOLATERSKI RADOVI</t>
  </si>
  <si>
    <t>U jed. cijenu radova uračunati sve materijale i radove utrošene na postavljanju izolacije. Pod višeslojnom hidroizolacijom podrazumijevaju se dvije bit. trake s uloškom staklene tkanine, položene zavarivanjem.
Kod izrade obratiti pozornost na spojeve, i na dizanje izolacije min 50 cm vertikalno. Kod podrumske izolacije istu je potrebno ispod podrumskog zida spojiti sa vanjskom vertikalnom hidroizolacijom.
Izvoditelj je dužan osigurati da sve površine prije postavljanja izolacije budu suhe, oprane i čiste.
Ako se naknadno utvrdi nesolidna izvedba, izvođač će o svom trošku izvesti sanaciju. Materijali za izvedbu izolaterskih radova moraju biti u skladu s važećim propisima i normativima. Radovi se moraju izvoditi stručno i kvalitetno u skladu s važećim propisima i pravilima struke. Jedinična cijena obuhvaća nabavu materijala, transport do gradilišta, skladištenje materijala i manipulaciju materijalom na gradilištu, radne skele, izvođenje radova, popravak loše i nekvalitetno izvedenih radova, te čišćenje prostora nakon završetka pojedinih radova.</t>
  </si>
  <si>
    <r>
      <t xml:space="preserve">Dobava materijala te izrada </t>
    </r>
    <r>
      <rPr>
        <b/>
        <sz val="10"/>
        <rFont val="Arial Narrow"/>
        <family val="2"/>
        <charset val="238"/>
      </rPr>
      <t>horizontalne hidroizolacije podne ploče vodomjernog</t>
    </r>
    <r>
      <rPr>
        <sz val="10"/>
        <rFont val="Arial Narrow"/>
        <family val="2"/>
        <charset val="238"/>
      </rPr>
      <t xml:space="preserve"> okna s jednim hladnim premazom te dvostrukom varenom bitumenskom hidroizolacijom kao BTUVAL V-4 s uloškom staklenog voala ili sl. Izolaciju prepustiti izvan gabarita temeljne ploče zbog naknadnog spajanja s vertikalnom izolacijom. U cijenu uračunata sva pričvršćenja,  preklopi, svi zaštitni i izolacijski slojevi (čepasta membrana i sl.) kao i obrada te brtvljenje prodora instalacija kroz hidroizolaciju kako bi se osigurala vodonepropusnost.</t>
    </r>
  </si>
  <si>
    <r>
      <t>Dobava materijala te izrada</t>
    </r>
    <r>
      <rPr>
        <b/>
        <sz val="10"/>
        <rFont val="Arial Narrow"/>
        <family val="2"/>
        <charset val="238"/>
      </rPr>
      <t xml:space="preserve"> vertikalne hidroizolacije AB zidova</t>
    </r>
    <r>
      <rPr>
        <sz val="10"/>
        <rFont val="Arial Narrow"/>
        <family val="2"/>
        <charset val="238"/>
      </rPr>
      <t xml:space="preserve"> vodomjernog okna s jednim hladnim premazom te jednostrukom varenom bitumenskom hidroizolacijom kao BTUVAL V-4 s uloškom staklenog voala ili sl. Ojačanje uglova visokofleksibilnom trakom. U cijenu uračunata sva pričvršćenja,  preklopi, svi zaštitni i izolacijski slojevi (čepasta membrana i sl.) kao i obrada te brtvljenje prodora instalacija kroz hidroizolaciju kako bi se osigurala vodonepropusnost.</t>
    </r>
  </si>
  <si>
    <r>
      <t>m</t>
    </r>
    <r>
      <rPr>
        <vertAlign val="superscript"/>
        <sz val="10"/>
        <color indexed="8"/>
        <rFont val="Arial Narrow"/>
        <family val="2"/>
        <charset val="238"/>
      </rPr>
      <t>2</t>
    </r>
  </si>
  <si>
    <t>čepasta membrana za zaštitu (voldrain)</t>
  </si>
  <si>
    <t>IZOLATERSKI RADOVI UKUPNO KUNA</t>
  </si>
  <si>
    <t>VI</t>
  </si>
  <si>
    <t xml:space="preserve">MONTERSKI RADOVI </t>
  </si>
  <si>
    <t>Dobava i ugradnja lijevanoželjeznih fazonskih komada, izrada priključka na gradski vodovod, spojnim vodom DN 100, dobava i ugradba potrebnog cjevovoda te svi potrebni fazonski komadi. U cijenu uključiti i svu armaturu vodomjernog okna. U vodomjerno okno se ugrađuje mjerna linija s kombiniranim vodomjerom. Armatura vodomjernog okna je slijedeća:</t>
  </si>
  <si>
    <t xml:space="preserve">• FF ravni komad s prirubnicama DN80, L=200 mm
• FF ravni komad s prirubnicama DN80, L=600 mm, 2 kom
• nepovratni ventil DN80 mm, L=260 mm
• vodomjer kombinirani C4000, DN80 mm
• MDK A, L=200
• filter DN80, L=300 mm
• zasun DN80, 2 kom
</t>
  </si>
  <si>
    <t>Sva armatura s prirubničkim spojem.  Radove izvodi nadležno komunalno poduzeće prema izvidu i ponudi</t>
  </si>
  <si>
    <t>kompl.</t>
  </si>
  <si>
    <t xml:space="preserve">Izvedba kompletnog priključka na postojeći vodovod. Uključen sav spojni i brtveni materijal te rezanje postojećeg cjevovoda. </t>
  </si>
  <si>
    <t>Dezinfekcija i ispiranje cjevovoda. Uračunat je utrošak vode i dezinfekcionog sredstva (prema propisima lokalnog distributera vode).</t>
  </si>
  <si>
    <t>Ispitivanje  kompletnog cjevovoda na tlak vodom. Tlačnu probu izvesti prema općim uputstvima o provođenju tlačne probe za tu vrstu cjevovoda. ( tlak od 10 bara u trajanju minimalno 12 sati). Obuhvaćeno ispitivanje vanjske i unutarnje vodovodne mreža, sa izdavanjem atesta. Paušalno.U obračun je uključena i izrada postava i demontaža privremenih uporišta te svi prijenosi i materijali.</t>
  </si>
  <si>
    <t>Uzorkovanje i izvođenje suglasnosti o upotrebljivosti vode od strane nadležne sanitarne službe.</t>
  </si>
  <si>
    <t>Ispitivanje gravitacijskih kolektora odvodnje (fekalne i oborinske vode) na protočnost. Nakon potpunog završetka svih radova mora se izvršiti ispitivanje svih ugrađenih cijevi na protočnost. Stavka obuhvaća punjenje vodom, vizualni pregled okana, čišćenje okana, ispuštanje vode i ispravak mogućih neispravnosti. Ispitivanje protočnih mjerila obujma i mase, akreditirani su prema normi HRN EN ISO/IEC 17025.</t>
  </si>
  <si>
    <t>MONTERSKI RADOVI UKUPNO kn</t>
  </si>
  <si>
    <t>VII</t>
  </si>
  <si>
    <t>NABAVA, DOPREMA I UGRADNJA CIJEVI VODOOPSKRBE, HIDRANTSKE MREŽE,  FEKALNE ODVODNJE I OBORINSKE VODE</t>
  </si>
  <si>
    <t>VII-A</t>
  </si>
  <si>
    <t xml:space="preserve">VANJSKI  RAZVOD </t>
  </si>
  <si>
    <t xml:space="preserve">Nabava, doprema i montaža  PEHD cijevi za vanjski razvod vode i hidrantske mreže od priključka do objekta. Vodovodne polietilenske cijevi visoke kvalitete PE100 (PEHD), SDR11 za radni pritisak 16 bara (HRN EN 122201-2). Cijevi se polažu na pripremljenu posteljicu od pjeskovitog materijala u rovu. Cijev mora ležati u rovu pocijeloj dužini, a ispod spojeva treba podlogu očistiti. Cijevi u svemu prema HRN G.C6.620 i DIN 8074, DIN 8075. Ova stavka obuhvaća kompletan materijal i rad na montaži cijevi, te raznos cijevi s privremene deponije uzduž rova za montažu. Spajanje cijevi izvodi se sučeonim zavarivanjem.
</t>
  </si>
  <si>
    <r>
      <t>Rad se mjeri i obračunava po metru dužnom (m</t>
    </r>
    <r>
      <rPr>
        <vertAlign val="superscript"/>
        <sz val="10"/>
        <rFont val="Arial Narrow"/>
        <family val="2"/>
        <charset val="238"/>
      </rPr>
      <t>1</t>
    </r>
    <r>
      <rPr>
        <sz val="10"/>
        <rFont val="Arial Narrow"/>
        <family val="2"/>
        <charset val="238"/>
      </rPr>
      <t>) ugrađene cijevi.</t>
    </r>
  </si>
  <si>
    <t>PEHD DN 25</t>
  </si>
  <si>
    <t>PEHD DN 50</t>
  </si>
  <si>
    <t>PEHD DN 80</t>
  </si>
  <si>
    <t xml:space="preserve">Nabava i transport PVC cijevi tjemene nosivosti SN 8 u palicama dužine 6 metara. Tjemena nosivost kolčaka (spojnog elementa) mora biti ista kao deklarirana nosivost cijevi tj. u klasi SN8. Cijevi se polažu na pješčanu posteljicu sukladno naputcima proizvođača, te se spajaju uz pomoć integriranih spojnih elemenata. Zasipavanje iskopa te nabijanje zasipa treba obaviti u skladu s napucima proizvođača u ovisnosti o karakteristikama tla te prisutnosti morske ili podzemne vode. Svojstva materijala za izradu cijevi moraju biti u skladu s prEN13476-1, prEN13476-3, EN ISO 9969, EN 476, EN 1610, ENV 1046. Svi brtveni elementi moraju biti izrađeni u skladu s EN 681-1.  </t>
  </si>
  <si>
    <t xml:space="preserve">U jediničnu cijenu uključen sav rad i materijal, dodatni materijal i pribor potreban za potpunu propisnu ugradnju i spajanje kanalizacijskih cijevi. Stavkom su obračunati fazonski komadi, brtvila, obrada spojeva i sve ostalo što je potrebno za potpuno dovršenje rada na ugradnji kanalizacije, uključivo i kontrolu vodonepropusnosti.  </t>
  </si>
  <si>
    <t>oborinska</t>
  </si>
  <si>
    <t xml:space="preserve">a) </t>
  </si>
  <si>
    <t>PP, DN 110</t>
  </si>
  <si>
    <t xml:space="preserve">b) </t>
  </si>
  <si>
    <t>PP, DN 125</t>
  </si>
  <si>
    <t xml:space="preserve">c) </t>
  </si>
  <si>
    <t>PP, DN 160</t>
  </si>
  <si>
    <t xml:space="preserve">d) </t>
  </si>
  <si>
    <t>PP, DN 200</t>
  </si>
  <si>
    <t>oborinska - zauljena</t>
  </si>
  <si>
    <t xml:space="preserve">e) </t>
  </si>
  <si>
    <t xml:space="preserve">f) </t>
  </si>
  <si>
    <t xml:space="preserve">g) </t>
  </si>
  <si>
    <t>PP, DN 250</t>
  </si>
  <si>
    <t>fekalna</t>
  </si>
  <si>
    <t xml:space="preserve">h) </t>
  </si>
  <si>
    <t xml:space="preserve">i) </t>
  </si>
  <si>
    <r>
      <t>Nabava, doprema, uskladištenje i ugradnja na privremenu gradilišnu deponiju revizijskih okana visine do</t>
    </r>
    <r>
      <rPr>
        <b/>
        <sz val="10"/>
        <rFont val="Arial Narrow"/>
        <family val="2"/>
        <charset val="238"/>
      </rPr>
      <t xml:space="preserve"> 1,2 m</t>
    </r>
    <r>
      <rPr>
        <sz val="10"/>
        <rFont val="Arial Narrow"/>
        <family val="2"/>
        <charset val="238"/>
      </rPr>
      <t>. Okno je u skladu s HRN EN 13598-2  izrađen od PEHD-a nazivne krutosti SN 8, rebraste/korugirane ili glatke (min. debljina glatke stijenka 25 mm).</t>
    </r>
  </si>
  <si>
    <r>
      <t xml:space="preserve">Okna mogu biti jednodijelna ili sastavljena od više dijelova, industrijski proizvedena. Baza okna ima </t>
    </r>
    <r>
      <rPr>
        <b/>
        <sz val="10"/>
        <rFont val="Arial Narrow"/>
        <family val="2"/>
        <charset val="238"/>
      </rPr>
      <t>dvostruko dno</t>
    </r>
    <r>
      <rPr>
        <sz val="10"/>
        <rFont val="Arial Narrow"/>
        <family val="2"/>
        <charset val="238"/>
      </rPr>
      <t>, odnosno mora imati u potpunosti ravno dno iznad kojeg se nalazi monolitni hidraulički profil (kineta) te gazište s integriranim priključcima za cijevi prema nacrtima.</t>
    </r>
  </si>
  <si>
    <t>Ponuditelj je dužan u ponudi priložiti potvrdu o sukladnosti izdanu temeljem izvješća ispitnog laboratorija ovlaštenog od strane Hrvatske akreditacijske agencije, kojim dokazuje da cijevi u potpunosti odgovaraju zahtijevanim karakteristikama prema opisu iz ove stavke i tehničkom opisu.</t>
  </si>
  <si>
    <t>U cijenu uračunati sav potreban materijal za izradu priključaka s obzirom na tip okna i odabranu tehnologiju spajanja cjevovoda s oknima.
Obračun po komadu</t>
  </si>
  <si>
    <t xml:space="preserve"> - DN400</t>
  </si>
  <si>
    <t xml:space="preserve"> - DN600</t>
  </si>
  <si>
    <t>Betonske cijevi Ø 50 cm za izradu cestovnih slivnika (SL2-SL13). Nabava, doprema i montaža betonskih kanalizacijskih cijevi Ø 50 cm, sa spojem na pero.  Iste se ugrađuju u betonsku oblogu koja je u posebnoj stavki i nije uključena u cijenu.
U cijenu je uključen pregled cijevi prije ugradnje.</t>
  </si>
  <si>
    <t>obračun po m' ugrađene cijevi</t>
  </si>
  <si>
    <t>Dobava i montaža kanala za linijsku odvodnju oborinskih voda   od polimerbetona -  monolitno tijelo kanala s otvorima u obliku rešetke. Kanal je namijenjen za izvedbu linijske odvodnje. Građevinska dužina je 100 cm, građevinska širina 20 cm, svjetla širina 15 cm, ukupna visina 27 cm, za razred opterećenja C250 u skladu s HRN EN 1433. Kanal se izvodi polaganjem na zemljo-vlažnu betonsku podlogu klase C 30/37 agregata frakcije 0 -16 drobljenog kamena u debljini sloja  20 cm, bočno  kanal založiti betonom. Gornji rub  kanala se izvodi u razini 2 - 5mm ispod kote gotove završne okolne površine. U cijenu uključene i odgovarajuće čeone stijenke s izljevom ili bez,  za početak ili kraj kanala. Uključena i ugradnja podloge, te sav rad i materijal za montažu do potpune funkcionalnosti.</t>
  </si>
  <si>
    <t>obračun po m'</t>
  </si>
  <si>
    <r>
      <t xml:space="preserve">Nabava, doprema i ugradnja plinotjesnog kvadratnog ljeveno željeznog kanalizacijskog poklopca dimenzija 400x400 i 600x600 mm s okvirom, s dvije ručke na izvlačenje (pomične). Poklopci su predviđeni za prometno opterećenje A15 i B125.
Poklopac mora imati bravu kao i dokaze o potrebnoj kvaliteti, a njihovu primjenu odobrava nadzorni inženjer. 
Reške oko okvira se zalijevaju cementnim mortom 1:2, što je uključeno u cijenu ugradnje poklopca.
</t>
    </r>
    <r>
      <rPr>
        <b/>
        <sz val="10"/>
        <rFont val="Arial Narrow"/>
        <family val="2"/>
        <charset val="238"/>
      </rPr>
      <t>(Napomena: Stavka je vezana na revizijska okna)</t>
    </r>
    <r>
      <rPr>
        <sz val="10"/>
        <rFont val="Arial Narrow"/>
        <family val="2"/>
        <charset val="238"/>
      </rPr>
      <t xml:space="preserve">
</t>
    </r>
  </si>
  <si>
    <t xml:space="preserve">prometno opterećenje A15 </t>
  </si>
  <si>
    <t xml:space="preserve"> - Poklopac 400x400 mm</t>
  </si>
  <si>
    <t xml:space="preserve"> - Poklopac 600x600 mm</t>
  </si>
  <si>
    <t xml:space="preserve">prometno opterećenje B125 </t>
  </si>
  <si>
    <r>
      <rPr>
        <sz val="10"/>
        <color indexed="8"/>
        <rFont val="Arial Narrow"/>
        <family val="2"/>
        <charset val="238"/>
      </rPr>
      <t xml:space="preserve">Nabava, doprema i ugradnja tipskog plinotijesnog kanalizacijskog poklopca dimenzija 600x600 mm s okvirom. Poklopci predviđeni za ispunu kamenom ili opločnikom. Prometno opterećenje A15.
Poklopac mora imati bravu kao i dokaze o potrebnoj kvaliteti, a njihovu primjenu odobrava nadzorni inženjer. 
</t>
    </r>
    <r>
      <rPr>
        <b/>
        <sz val="10"/>
        <color indexed="8"/>
        <rFont val="Arial Narrow"/>
        <family val="2"/>
        <charset val="238"/>
      </rPr>
      <t>(Napomena: Stavka je vezana na sabirnu jamu )</t>
    </r>
    <r>
      <rPr>
        <sz val="10"/>
        <color indexed="10"/>
        <rFont val="Arial Narrow"/>
        <family val="2"/>
        <charset val="238"/>
      </rPr>
      <t xml:space="preserve">
</t>
    </r>
  </si>
  <si>
    <t xml:space="preserve"> - Inox poklopac A15</t>
  </si>
  <si>
    <r>
      <t xml:space="preserve">Nabava, doprema i ugradnja ljeveno željeznog kanalizacijskog poklopca dimenzija 600x600 mm s okvirom, s dvije ručke na izvlačenje (pomične). Poklopci su predviđeni za prometno opterećenje A15.
Poklopac mora imati bravu kao i dokaze o potrebnoj kvaliteti, a njihovu primjenu odobrava nadzorni inženjer. 
Reške oko okvira se zalijevaju cementnim mortom 1:2, što je uključeno u cijenu ugradnje poklopca.
</t>
    </r>
    <r>
      <rPr>
        <b/>
        <sz val="10"/>
        <rFont val="Arial Narrow"/>
        <family val="2"/>
        <charset val="238"/>
      </rPr>
      <t>(Napomena: Stavka je vezana na vodomjerno okno i upojne bunare)</t>
    </r>
    <r>
      <rPr>
        <sz val="10"/>
        <rFont val="Arial Narrow"/>
        <family val="2"/>
        <charset val="238"/>
      </rPr>
      <t xml:space="preserve">
</t>
    </r>
  </si>
  <si>
    <t xml:space="preserve"> - Poklopac A15</t>
  </si>
  <si>
    <r>
      <t xml:space="preserve">Dobava i doprema i ugradnja stupalica  iz nehrđajučeg čelika. Leđna zaštita iz čeličnog profila 50/5 mm. U cijenu uključen sav materijal i rad do pune gotovosti. 
</t>
    </r>
    <r>
      <rPr>
        <b/>
        <sz val="10"/>
        <color indexed="8"/>
        <rFont val="Arial Narrow"/>
        <family val="2"/>
        <charset val="238"/>
      </rPr>
      <t>(Napomena: Stavka je vezana na vodomjerno okno)</t>
    </r>
  </si>
  <si>
    <t>Obračun po komadu</t>
  </si>
  <si>
    <t>Nabava, doprema i ugradnja lijevanoželjeznih kanalskih rešetki za slivnike dimenzija 400 x 400 mm, za opterećenje D400. Rešetka mora imati dokaze o potrebnoj kvaliteti, a njihovu primjenu odobrava nadzorni inženjer. Reške oko rešetki se zalijevaju cementnim mortom 1:2, što je uključeno u cijenu ugradnje istih.</t>
  </si>
  <si>
    <t>obračun po komadu</t>
  </si>
  <si>
    <t xml:space="preserve">Nabava, doprema i montaža nadzemnih hidranata od lijevanog željeza sa lomljivim stupom, prema HRN DIN 3222, sa ugrađenim dvjema gornjim C-spojkama (DN 50) prema HRN DIN-u 14317 i jedna donja B-spojka (DN 65) prema HRN DIN 14318; kompletno s vijcima i brtvama za radni tlak od 10 bara. Sve u skladu s HRN EN 1074-6:2008.
U stavku je uračunat sav spojni materijal (brtve, vijci, matice)  i ostali vodovodni materijla za potrebe rada hidranta za radni tlak od 10 bara. Fazonski komadi su iz nodularnog lijeva GGG 40. Sve u skladu s HRN EN 1074:2002. </t>
  </si>
  <si>
    <t xml:space="preserve"> - nadzemni hidrant  DN 80 mm PN 10 </t>
  </si>
  <si>
    <t xml:space="preserve">    Rd (dubina ugradnje)  1,00m</t>
  </si>
  <si>
    <t xml:space="preserve"> - FFG DN80 l=300mm</t>
  </si>
  <si>
    <t xml:space="preserve"> - N90 DN80 </t>
  </si>
  <si>
    <t xml:space="preserve"> - EV DN80</t>
  </si>
  <si>
    <t xml:space="preserve"> - ugradbena garnitura </t>
  </si>
  <si>
    <t xml:space="preserve"> - kružna ulična kapa</t>
  </si>
  <si>
    <t xml:space="preserve"> - T DN100/80</t>
  </si>
  <si>
    <t xml:space="preserve"> - EPHD spojnica DN80/90</t>
  </si>
  <si>
    <t>Dobava i  ugradnja hidrantskog samostojećeg ormara s opremom za nadzemni hidrant, proizvođača „Pastor“ ili jednakovrijedan, obojan, kao tip OH-N koji se sastoji od:
• „C“ tlačnog trevira crijeva sa sponicama  Ø52 x15 m – 4 kom
• univerzalne mlaznice Ø52 – 2 kom
• hidrantskog nastavka DN80/2xC – 1 kom
• ABC ključa za spojnice – 2 kom
• ključa za podzemni hidrant – 1 kom</t>
  </si>
  <si>
    <t>Jednakovrijedan proizvod:</t>
  </si>
  <si>
    <t xml:space="preserve">Komplet </t>
  </si>
  <si>
    <t>kpl</t>
  </si>
  <si>
    <t>VANJSKI RAZVOD UKUPNO</t>
  </si>
  <si>
    <t>VII-B</t>
  </si>
  <si>
    <t>UNUTARNJI RAZVOD</t>
  </si>
  <si>
    <t>Pod unutarnjim razvodom podrazumijevamo sve cijevi u temeljima, tehničkoj prostoriji, prizemlju i na katu koje spajaju vertikale s vanjskim razvodom i same vertikale.</t>
  </si>
  <si>
    <t>Dobava, prijevoz, istovar i skladištenje na gradilišni deponij te postavljanje i montaža PP SN8  odvodnih cijevi za gravitacijsku odvodnju u objektu  do vertikala, uključujući i vertikale, uključivo sve fazonske komade, te sav spojni i brtveni materijal kao i obujmice kod spajanja ispod stropa i u zidu, te ispitivanje cijevi na nepropusnost. U cijenu uračunati sav osnovni i pomoćni materijal i rad kao što je ugradnja zaštitne maske cjevovoda do pune gotovosti, kao i požarno brtvljenje kod prijelaza cijevi između požarnih sektora.</t>
  </si>
  <si>
    <t>PPC, DN 50 - fekalna</t>
  </si>
  <si>
    <t>PPC, DN 75 - fekalna</t>
  </si>
  <si>
    <t>PPC, DN 110 - fekalna</t>
  </si>
  <si>
    <t>PPC, DN 125 - oborinska</t>
  </si>
  <si>
    <t>Dobava, prijevoz, istovar i skladištenje na gradilišni deponij te postavljanje i montaža PP-R (80) vodovodnih cijevi PN20 SDR 6 za hladnu pitku vodu, 67°C prema DIN8077/78, unutar objekta uključujući dovod do vertikala i vertikale. Vodovodne cijevi isporučuju se u šipkama po 4m. U cijenu uračunati sav potreban sitni pribor, spojni materijal, fazonske komade, prelazne komade polipropilen/čelik i potreban učvrsni i ovjesni pribor, te ugradnja zaštitne maske cjevovoda do pune gotovosti, kao i požarno brtvljenje kod prijelaza cijevi između požarnih sektora.</t>
  </si>
  <si>
    <t>HLADNA VODA</t>
  </si>
  <si>
    <t>PPR DN 25</t>
  </si>
  <si>
    <t>PPR DN 20</t>
  </si>
  <si>
    <t>PPR DN 15</t>
  </si>
  <si>
    <t>TOPLA VODA</t>
  </si>
  <si>
    <t>CIRKULACIJA</t>
  </si>
  <si>
    <t>Dobava i montaža:Izolacija hladnih plastičnih vodovodnih cijevi gotovim izolacijskim cijevima kao  ""Armacell""  -Tubolit S+ i Tubolit DG ili jednakovrijedna.</t>
  </si>
  <si>
    <t>PPR DN 25, 4 mm</t>
  </si>
  <si>
    <t>PPR DN 20, 4 mm</t>
  </si>
  <si>
    <t>PPR DN 15, 4 mm</t>
  </si>
  <si>
    <t>_x000D_</t>
  </si>
  <si>
    <t>PPR DN 15,4 mm</t>
  </si>
  <si>
    <t>Unutarnja hidrantska mreža. Dobava, prijevoz, istovar i skladištenje na gradilišni deponij te postavljanje i montaža čeličnih tlačnih vodovodnih cijevi i spojnih komada - fitinga. Spajanje se izvodi na navoj, dok se brtvljenje spojeva obavlja kudjeljom natopljeno  u lanenom ulju. Obračun po m' cijevi bez izolacije s učvršćenjem</t>
  </si>
  <si>
    <t>- Ø 50 mm</t>
  </si>
  <si>
    <t xml:space="preserve">Dobava, montaža i ugradnja zidnih hidrantskih ormarića s mlaznicom, cijevi i kompletnom opremom do potpune gotovosti. </t>
  </si>
  <si>
    <t>HL Krovni slivnik   s prihvatom za FPO hidroizolaciju, nerpohodan  148x148mm,137/137mm.</t>
  </si>
  <si>
    <t>DN75 - bočni izljev</t>
  </si>
  <si>
    <t>DN75 - vertikalni izljev</t>
  </si>
  <si>
    <t>DN110 - bočni izljev</t>
  </si>
  <si>
    <t>DN110 - vertikalni izljev</t>
  </si>
  <si>
    <t>UNUTARNJI RAZVOD UKUPNO kn</t>
  </si>
  <si>
    <t>VII-C</t>
  </si>
  <si>
    <t>SANITARNI UREĐAJI</t>
  </si>
  <si>
    <t>Ponuda po kompletima</t>
  </si>
  <si>
    <t>U jedininičnu cijenu kompleta uključeni su dovodni i odvodni cjevovodi dužine  cca 4 m (u objektu do vertikala). U jediničnu cijenu su uključeni svi ventili, rozete, pričvrsni pribor, sve do potpune gotovosti kompleta. U cijenu uračunati sav osnovni i pomoćni materijal i rad. Eventualne razlike obračunati će se prema jediničnim cijenama iz ovog troškovnika.</t>
  </si>
  <si>
    <r>
      <t xml:space="preserve">Dobava i montaža </t>
    </r>
    <r>
      <rPr>
        <b/>
        <sz val="10"/>
        <rFont val="Arial Narrow"/>
        <family val="2"/>
        <charset val="238"/>
      </rPr>
      <t>dječjih umivaonika</t>
    </r>
    <r>
      <rPr>
        <sz val="10"/>
        <rFont val="Arial Narrow"/>
        <family val="2"/>
        <charset val="238"/>
      </rPr>
      <t xml:space="preserve"> u dječjim sanitarijama komplet sa dovodnom i odvodnom garniturom (termostatske slavine za toplu i hladnu vodu s ugrađenim sigurnosnim sustavom koji sprječava da temperature vode prijeđe 38º C ). Umivaonike montirati na visini max 60 cm od poda. U stavku obračunata dobava, montaža i ugradnja,etažera,ogledala, držača za ručnike i držača tekućeg sapuna sa svim pripadajućim spojnim sredstvima. Komplet.</t>
    </r>
  </si>
  <si>
    <t>Dobava i ugradnja vodokotlića s tipkalom kao Geberit ili sličnog istih karakteristika i  dječje wc školjke  I klase s zidnim izljevom, uključivo dovod, te odvod vode, kutnim ventilom, rozetom, sifonom, daskom za sjedenje i svim potrebnim priborom i držačem wc papira. U stavku uračunata i obloga cijevi dovoda i odvoda.</t>
  </si>
  <si>
    <t>Dobava i ugradnja umivaonika I klase, uključivo dovod tople i hladne vode, te odvod vode, uključivo sa  mješalicom sa svim pripadajućim spojnim sredstvima, kutnim ventilima, rozetom i sifonom.U stavku obračunata dobava, montaža i ugradnja,etažera,ogledala, držača za ručnike i držača tekućeg sapuna sa svim pripadajućim spojnim sredstvima. U stavku uračunata i obloga cijevi dovoda i odvoda.Komplet.</t>
  </si>
  <si>
    <t>65x50 cm</t>
  </si>
  <si>
    <t>Dobava i ugradnja vodokotlića s tipkalom kao Geberit ili sličnog istih karakteristika i  wc školjke  I klase s zidnim izljevom, uključivo dovod, te odvod vode, uključivo sa, kutnim ventilom, rozetom, sifonom, daskom za sjedenje i svim potrebnim priborom i držačem wc papira. U stavku uračunata i obloga cijevi dovoda i odvoda.Komplet.</t>
  </si>
  <si>
    <t>Dobava i ugradnja zidnih kromiranih držača za invalidski WC</t>
  </si>
  <si>
    <t>Zidna otklopna ručka kao HEWI art br. 801.50-100 ili jednakovrijedna.</t>
  </si>
  <si>
    <t>Zidna ručka, držač kao HEWI art.br. 801.36.130 ili jednakovrijedna</t>
  </si>
  <si>
    <t>Dobava i ugradnja tuš kade sa oblogom I klase, uključivo dovod tople i hladne vode, te odvod vode, uključivo sa mješalicom , kutnim ventilima, rozetom i kanalicom .  U stavku uračunati silikoniranje, sva štemanja i krpanja.Komplet.</t>
  </si>
  <si>
    <t>100x90 cm</t>
  </si>
  <si>
    <t>Montaža PVC sifona, sa PVC tuljkom i kromiranom rešetkom 15x15 cm. U cijenu uračunati i odvod od sifona. Komplet</t>
  </si>
  <si>
    <t>Montaža slavine s holender nastavkom za stroj za pranje suđa. U cijenu uračunati dovod i odvod vode,  ventil s rozetom, slavinu sa ručkom i odvodnu ugradbenu garnituru. U stavku uračunata i obloga cijevi dovoda i odvoda. Komplet.</t>
  </si>
  <si>
    <t>Izvedba priključka za sudoper koji se sastoji od cijevi za dovod i odvod, te dva  ventila.  U stavku uračunata i obloga cijevi dovoda i odvoda.Komplet.</t>
  </si>
  <si>
    <t>Doprema i ugradnja inox kuhinjskog kanala 400x400mm iz nehrđajućeg čelika, svijetle širine kanala 400mm, sijetle dužine kanala 400mm i dubine kanala 60mm. Građevinske dimenzije 437x437 mm. Kanal je izveden u opadu sa mrežastom protukliznom rešetkom  394x394 mm, veličine otvora mreže 22x22x25 mm, klase nosivosti L15(1500 kg)  i vertikalnim izljevom na sredini kanala, DIA 110. Opremljen sifonskim umetkom s mogućnošću vađenja i jednostavnog čišćenja, tesa perforiranim filterom  za skupljanje nečistoća . Sve izrađeno od nehrđajućeg čelika AISI 304.</t>
  </si>
  <si>
    <t>SANITARNI UREĐAJI UKUPNO kn</t>
  </si>
  <si>
    <t>VII(A+B+C)</t>
  </si>
  <si>
    <t>VODOOPSKRBA I ODVODNJA UKUPNO  kn</t>
  </si>
  <si>
    <t>VIII</t>
  </si>
  <si>
    <t>UREĐAJI</t>
  </si>
  <si>
    <t>SEPARATOR LAKIH TEKUĆINA</t>
  </si>
  <si>
    <t>BY-PASS Separator naftnih derivata 
Dobava i ugradnja separatora lakih tekućina iz centrifugalo ljevanog polietilena s mimotokom (bypassom). Separator mora biti konstruiran, izrađen i testiran prema HRN EN 858,  nazivne veličine NS 3/15 (protok kroz separator / ukupni protok). Učinkovitost separatora mora zadovoljiti klasu I - lakih tekućina u izlaznoj vodi do 5mg/l. Separator mora biti siguran od djelovanja sila uzgona. Separator mora imati koalescentni filtar koji se treba moći višekratno koristiti, a za potrebe čišćenja i održavanja jednostavno izvaditi. Separator mora imati sigurnosni plovak tariran na spec. težinu lakih tekućina kao osiguranje od nekontroliranog odljeva istih iz separatora.  Pristup u separator mora biti u skladu s HRN EN 476. Separator mora ima integriranu taložnicu minimalne zapremnine 300 litara, minimalni kapacitet uskladištenih lakih tekućina 30 litara dok sveukupni volumen ne smije biti veći od 800 lit. 
Uljev i izljev separatora moraju biti DN200, utični spoj s kliznom brtvom prema HRN EN 1401. 
Separator se treba isporučivati s poklopcem u skladu s HRN EN 124 klase nosivosti A15, svijetlog otvora promjera Ø600mm s natpisom: "SEPARATOR".</t>
  </si>
  <si>
    <t>obračun po kom</t>
  </si>
  <si>
    <t>PROTUPOŽARNI APARATI</t>
  </si>
  <si>
    <t>Nabava, doprema i ugradnja ručnih vatrogasnih aparata  tipa kao "Pastor" požarnog razreda prema EN3-7  43 A/233B/C, 12 JG (6kg S-6).</t>
  </si>
  <si>
    <t>S-6</t>
  </si>
  <si>
    <t>UREĐAJI UKUPNO kn</t>
  </si>
  <si>
    <t>REKAPITULACIJA VODOVOD I KANALIZACIJA :</t>
  </si>
  <si>
    <t xml:space="preserve">VI </t>
  </si>
  <si>
    <t>MONTERSKI RADOVI</t>
  </si>
  <si>
    <t>VODOOPSKRBA I ODVODNJA</t>
  </si>
  <si>
    <t>VODOVOD I KANALIZACIJA UKUPNO  KUNA BEZ PDV-a</t>
  </si>
  <si>
    <t xml:space="preserve"> PDV 25 %</t>
  </si>
  <si>
    <t>SVEUKUPNO SA  PDV-om</t>
  </si>
  <si>
    <t xml:space="preserve"> TROŠKOVNIK GRAĐEVINSKO OBRTNIČKIH RADOVA</t>
  </si>
  <si>
    <t>Ponuditelj je dužan sve radove izvesti od kvalitetnog materijala, prema opisu i pismenim naputcima projektanta, ali sve u okviru ponuđene jedinične cijene.
Ukoliko opis određene stavke dovodi ponuditelja (izvođača) u sumnju o načinu izvedbe, treba pravovremeno prije predaje ponude tražiti objašnjenje od projektanta.
Sve štete nastale prilikom izvedbe, a izvođač ih je mogao spriječiti  dužan ih je ukloniti o svom trošku.
Svi nekvalitetni radovi moraju se otkloniti i zamijeniti ispravnima. Sukladno tome tolerancije mjera izvedenih radova određene su običajima zanata, odnosno prema odluci nadzorne službe. Izvođač je dužan sve mjere provjeravati u naravi, te o svim nejednakostima između projekta i stanja na gradilištu obavijestiti projektanta i nadzornu službu.
Sva odstupanja od  dogovorenih tolerancija izvođač će otkloniti o svom trošku.
Sve eventualne izmjene materijala, te načina izvedbe tijekom gradnje, moraju se izvršiti isključivo pismenim dogovorom s projektantom i nadzornim inženjerom, u protivnom iste neće biti priznate pri obračunu.
Za sve materijale koji se koriste prilikom izvedbe izvođač je o svom trošku dužan osigurati pravilno skladištenje. Izvođač je dužan poduzeti sve mjere na osiguranju konstrukcija od štetnog djelovanja atmosferskih utjecaja. Ukoliko do oštećenja dođe izvođač će izvršiti popravke o svom trošku.
Izvođač je prilikom izvedbe dužan nadzornoj službi predati sve ateste i ispitivanja o čvrstoći i kvaliteti ugrađenog materijala.
Pojedine jedinične cijene u sebi moraju sadržavati sve vrste osnovnih i pomoćnih materijala i radova do potpune gotovosti pojedine stavke. (svi transporti, radne i pomoćne skele, sve potrebne mjere koje treba poduzeti da bi se zadovoljili uvjeti HTZ.)</t>
  </si>
  <si>
    <t>NAPOMENA: 
Jedinične   cijene u troškovniku su "projektantske", orjentacione te sastavljene na osnovu podataka iz Standardnih građevinskih kalkulacija i jediničnim cijenama na sličnim objektima. Jedinične cijene nisu u skladu sa trenutnim stanjem na tržištu, te se u ni kojem slučaju ne mogu koristiti kao ugovorne.</t>
  </si>
  <si>
    <t>R.B.</t>
  </si>
  <si>
    <t>Stavka</t>
  </si>
  <si>
    <t>Mjera</t>
  </si>
  <si>
    <t>Količina</t>
  </si>
  <si>
    <t>Cijena (HRK)</t>
  </si>
  <si>
    <t>Ukupno (HRK)</t>
  </si>
  <si>
    <t/>
  </si>
  <si>
    <t>INSTALACIJA GRIJANJA I HLAĐENJA - VRV SUSTAV</t>
  </si>
  <si>
    <t>VRV/VRT (variant refigerent volume / temperature) vanjska jedinica u izvedbi aerotermalne toplinske pumpe sa ugrađenim hermetičkim kompresorima i izmjenjivačem.</t>
  </si>
  <si>
    <t>VRT - konfigurator omogućuje kontinuiranu promjenu temperature isparavanja i kondenzacije radnog medija prema temperaturi okoliša u svrhu dodatne uštede energije i većeg komfora zbog viših temperatura medija.</t>
  </si>
  <si>
    <t>Maksimalno dozvoljena ukupna duljina cjevnog razvoda iznosi 1000 metara  uz ograničenja navedena u uputama proizvođača. Maksimalna dozvoljena visinska razlika između vanjske i unutarnje jedinice iznosi 90 m (neovisno da li je pozicija vanjske jedinice iznad, ili ispod pozicije unutarnjih jedinica). Maksimalna dozvoljena visinska razlika između pojedinih unutarnjih jedinica iznosi 30 m.</t>
  </si>
  <si>
    <t>Jedinica je opremljena opcijom za "Ekstra tihi rad" sa mogućnošću jednostavnog podešavanja reduciranog rada uz smanjeni nivo zvučnog tlaka na 45 dB(A) u stupnju 2, odnosno 50 dB(A) u stupnju 1 (navedene vrijednosti zvučnog tlaka odnose se na jedinice sastavljene od 1 modula).</t>
  </si>
  <si>
    <t>Konstrukcija: Jedinice su modularne izvedbe sa osnovnim nosivim okvirom i galvaniziranim čeličnim panelima sa odgovarajućom zaštitom za vanjsku i unutarnju ugradnju. Do veličine 20HP jedinice mogu biti u izvedbi 1 modula, dok su veće sastavljene od dva, ili tri modula.</t>
  </si>
  <si>
    <t>Jedinice imaju eksterni statički tlak ventilatora od 78 Pa te su prikladne i za unutarnju ugradnju.</t>
  </si>
  <si>
    <t>Svi kompresori u uređaju su inverterski, zvučno izolirani K-tip hermetički scroll izvedbe s ugrađenim motorom, optimizirani za rad sa R410a.</t>
  </si>
  <si>
    <t>Jedinice su opremljene Back-up funkcijom koja omogućava rad jedinice sa dva kompresora u slučaju kvara na jednom od njih (minimalno 50% kapaciteta).</t>
  </si>
  <si>
    <t>Jedinice su opremljene funkcijom automatskog nadopunjavanja rashladnog medija i očitanja količine rashladnog medija direktno na vanjskoj jedinici.</t>
  </si>
  <si>
    <t>Proizvod Daikin VRV IV - HIGH COP - tip RXYQ18U</t>
  </si>
  <si>
    <t>Tehničke karakteristike uređaja:</t>
  </si>
  <si>
    <t>Kao proizvod Daikin tip: RXYQ18U</t>
  </si>
  <si>
    <t>Tehničke karakteristike u hlađenju pri varijabilnoj temperaturi radne tvari (VRT), i kod nominalnih uvjeta (Tok=35°CDB i  Tpr=27°CDB/19°CWB kod 100% omjera priključenja):</t>
  </si>
  <si>
    <t>Qh =50,00 kW</t>
  </si>
  <si>
    <t>N =14,68 kW / 400 V / 50 Hz</t>
  </si>
  <si>
    <t>EER: 3,41 (100% opterećenja)</t>
  </si>
  <si>
    <t>SEER: 6,00</t>
  </si>
  <si>
    <t>Tehničke karakteristike u grijanju pri Tcond=46°C, i kod nominalnih uvjeta (Tok=7°CDB/ 6°CWB i Tpr=20°C kod 100% omjera priključenja):</t>
  </si>
  <si>
    <t>Qg = 56,00 kW</t>
  </si>
  <si>
    <t>N = 14,40 kW / 400 V / 50 Hz</t>
  </si>
  <si>
    <t>COP: 3,89 (100% opterećenja)</t>
  </si>
  <si>
    <t>Tehničke karakteristike u grijanju pri Tcond=43°C, i kod nominalnih uvjeta (Tok=7°CDB/ 6°CWB i Tpr=20°C kod 100% omjera priključenja):</t>
  </si>
  <si>
    <t>Qg = 50,00 kW</t>
  </si>
  <si>
    <t>N =12,40 kW / 400 V / 50 Hz</t>
  </si>
  <si>
    <t>COP: 4,03 (100% opterećenja)</t>
  </si>
  <si>
    <t>Tehničke karakteristike u grijanju pri varijabilnoj temperaturi radne tvari (VRT), i kod nominalnih uvjeta (Tok=7°CDB/ 6°CWB i Tpr=20°C kod 100% omjera priključenja):</t>
  </si>
  <si>
    <t>Qg = 45,20 kW</t>
  </si>
  <si>
    <t>N = 10,80 kW / 400 V / 50 Hz</t>
  </si>
  <si>
    <t>COP: 4,19 (100% opterećenja)</t>
  </si>
  <si>
    <t>SCOP: 4,20</t>
  </si>
  <si>
    <t>Kapacitet: 18 HP</t>
  </si>
  <si>
    <t>Broj kompresora: 2</t>
  </si>
  <si>
    <t>Radno područje grijanje: od -20,0°C do 15,5°C</t>
  </si>
  <si>
    <t>Radno područje hlađenje: od -5,0°C do 43,0°C</t>
  </si>
  <si>
    <t>Protok zraka grijanje: 15.060 m3/h</t>
  </si>
  <si>
    <t>Protok zraka hlađenje: 15.060 m3/h</t>
  </si>
  <si>
    <t>Nivo zvučnog tlaka: 62,0 dBA</t>
  </si>
  <si>
    <t>Dimenzije (š x d x v) :1240 x 765 x 1685 mm</t>
  </si>
  <si>
    <t>Težina: 308 kg</t>
  </si>
  <si>
    <t>Boja kućišta: bijela</t>
  </si>
  <si>
    <t>Priključak tekuća faza: 15,9 mm</t>
  </si>
  <si>
    <t>Priključak plinovita faza: 28,6 mm</t>
  </si>
  <si>
    <t>Radni medij: R-410A</t>
  </si>
  <si>
    <t>Unutarnje jedinice</t>
  </si>
  <si>
    <t>Unutarnja  jedinica VRV sustava kazetne izvedbe sa donjom ukrasnom maskom  predviđena za  montažu pod strop sa 4 smjera ispuhivanja, opremljena ventilatorom, izmjenjivačem topline s direktnom ekspanzijom freona, elektronskim ekspanzijskim ventilom te svim potrebnim elementima za zaštitu, kontrolu i regulaciju uređaja i temperature.</t>
  </si>
  <si>
    <t>Proizvod Daikin VRV FXZQ15A + BYFQ60CW</t>
  </si>
  <si>
    <t>Kao proizvod Daikin tip: FXZQ15A</t>
  </si>
  <si>
    <t>Qh = 1,7 kW</t>
  </si>
  <si>
    <t>Qg = 1,9 kW</t>
  </si>
  <si>
    <t>N= 36/43 W - 230 V - 50 Hz</t>
  </si>
  <si>
    <t>Protok zraka hlađenje: 6,5 - 8,5 m3/min</t>
  </si>
  <si>
    <t>Protok zraka grijanje: 6,5 – 8,5 m3/min</t>
  </si>
  <si>
    <t>Nivo zvučnog tlaka: hlađenje: 25,5 - 31,5 dBA</t>
  </si>
  <si>
    <t>Nivo zvučnog tlaka: grijanje: 25,5 - 31,5 dBA</t>
  </si>
  <si>
    <t>Nivo zvučne snage: hlađenje: 49 dB(A)</t>
  </si>
  <si>
    <t>Dimenzije: (š x d x v)= 575 x 575 x 260 mm</t>
  </si>
  <si>
    <t>Težina: 15,5 kg</t>
  </si>
  <si>
    <t>Dimenzije panela: (š x d x v): 620 x 620 x 46 mm</t>
  </si>
  <si>
    <t>Težina panela: 2,8 kg</t>
  </si>
  <si>
    <t>Priključak: tekuća faza: 6,35 mm</t>
  </si>
  <si>
    <t>Priključak plinovita faza: 12,7 mm</t>
  </si>
  <si>
    <t>Medij: R-410A</t>
  </si>
  <si>
    <t>Proizvod Daikin VRV FXZQ25A + BYFQ60CW</t>
  </si>
  <si>
    <t>Kao proizvod Daikin tip: FXZQ25A</t>
  </si>
  <si>
    <t>Qh = 2,8 kW</t>
  </si>
  <si>
    <t>Qg = 3,2 kW</t>
  </si>
  <si>
    <t>Protok zraka hlađenje: 6,5 - 9 m3/min</t>
  </si>
  <si>
    <t>Protok zraka grijanje: 6,5 – 9 m3/min</t>
  </si>
  <si>
    <t>Nivo zvučnog tlaka: hlađenje: 25,5 - 33 dBA</t>
  </si>
  <si>
    <t>Nivo zvučnog tlaka: grijanje: 25,5 - 33 dBA</t>
  </si>
  <si>
    <t>Nivo zvučne snage: hlađenje: 50 dB(A)</t>
  </si>
  <si>
    <t>Dimenzije panela (š x d x v): 620 x 620 x 46 mm</t>
  </si>
  <si>
    <t>Težina panele: 2,8 kg</t>
  </si>
  <si>
    <t>Priključak: plinovita faza: 12,7 mm</t>
  </si>
  <si>
    <t>Proizvod Daikin VRV FXZQ32A + BYFQ60CW</t>
  </si>
  <si>
    <t>Kao proizvod Daikin tip: FXZQ32A</t>
  </si>
  <si>
    <t>Qh = 3,6 kW</t>
  </si>
  <si>
    <t>Qg = 4 kW</t>
  </si>
  <si>
    <t>N= 38/45 W - 230 V - 50 Hz</t>
  </si>
  <si>
    <t>Protok zraka hlađenje: 7 - 10 m3/min</t>
  </si>
  <si>
    <t>Protok zraka grijanje: 7 – 10 m3/min</t>
  </si>
  <si>
    <t>Nivo zvučnog tlaka: hlađenje: 26 - 33,5 dBA</t>
  </si>
  <si>
    <t>Nivo zvučnog tlaka: grijanje: 26 - 33,5 dBA</t>
  </si>
  <si>
    <t>Nivo zvučne snage: hlađenje: 51 dB(A)</t>
  </si>
  <si>
    <t>Težina: 16,5 kg</t>
  </si>
  <si>
    <t>Priključak tekuća faza: 6,35 mm</t>
  </si>
  <si>
    <t>Regulacija i upravljanje</t>
  </si>
  <si>
    <t>Detaljan i jednostavan nadzor i rad VRV sustava (maks. 2 x 64 grupe/ unutarnje jedinice)</t>
  </si>
  <si>
    <t>Proizvod DAIKIN tip DCS601C51</t>
  </si>
  <si>
    <t>ITC i-Touch kontroler (centralni nadzorno upravljački sustav) za regulaciju do 64 grupe unutarnjih jedinica VRV sustava. Regulator je predviđen za montažu na zid i spaja se na vanjske jedinice VRV-a.</t>
  </si>
  <si>
    <t>Mogućnosti kontrole: on / off, režim rada, setpoint, brzina ventilatora i pozicija istrujnih lamela, grupno ili individualno upravljanje (on/off, režim i setpoint), regulacija temperature, kalendar, tjedni i dnevni programi ograničavanje pristupa elektronskim upravljačima u sobama.</t>
  </si>
  <si>
    <t>Mogućnosti nadzora: grafički prikaz na računalu, rad unutarnjih i vanjskih jedinica, signalizacija greške, signalizacija zaprljanosti filtera na unutarnjim jedinicama, različite razine pristupa.</t>
  </si>
  <si>
    <t>Priključak: 230V, 50Hz</t>
  </si>
  <si>
    <t>Dimenzije:(š x d x v)= 230x147x50 mm</t>
  </si>
  <si>
    <t>Težina: 1,2 kg</t>
  </si>
  <si>
    <t>Proizvod Daikin: DCS601C51 Intelligent Touch Controller.</t>
  </si>
  <si>
    <t>Individualni upravljači</t>
  </si>
  <si>
    <t>BRC1H519W</t>
  </si>
  <si>
    <t>Novi touch screen premium ''Madoka'' žičani daljinski upravljač dostupan u bijeloj boji kompaktnih dimenzija (85x85 mm). Profinjen i elegantan dizajn te ravan stražnji panel omogućavaju jednostavnu ugradnju. Mogućnost bluetooth povezivanja sa pametnim telefonom te Madoka Assistant aplikacijom koja omogućuje dodatne korisničke postavke te servisne napredne postavke za puštanje u pogon i održavanje. Aplikacija je kompatibilna i sa iOS i sa Android uređajima.</t>
  </si>
  <si>
    <t>Cijevni razvod i puštanje u pogon</t>
  </si>
  <si>
    <t>Izolirani bakreni spojni elementi za razvod medija R-410A za plinsku i tekuću fazu, uključivo redukcije (2 komada po kompletu: plinska + tekuća faza), kao proizvod Daikin tip:</t>
  </si>
  <si>
    <t>Y-Račve:</t>
  </si>
  <si>
    <t>KHRQ22M20T</t>
  </si>
  <si>
    <t>Račva za indeks kapaciteta do 200.</t>
  </si>
  <si>
    <t>KHRQ22M29T9</t>
  </si>
  <si>
    <t>Račva za indeks kapaciteta od 201 do 290.</t>
  </si>
  <si>
    <t>KHRQ22M64T</t>
  </si>
  <si>
    <t>Račva za indeks kapaciteta od 291 do 640.</t>
  </si>
  <si>
    <t>Puštanje u pogon</t>
  </si>
  <si>
    <t>Puštanje u pogon VRV sustava</t>
  </si>
  <si>
    <t>Puštanje u pogon VRV sustava uključivo provjeru nepropusnosti freonske instalacije, vakumiranje i dopunjavanje rashladnog sredstva od strane ovlaštenog servisa uz izdavanje potrebnih uputa za korištenje, atesta i garancija.</t>
  </si>
  <si>
    <t>Puštanje u pogon ITC-Intelligent Touch controller-a (centralni upravljački regulator)</t>
  </si>
  <si>
    <t>Programiranje i puštanje u pogon ITC - Intelligent Touch controller-a (centralnog upravljačkog regulatora) sa pripadajućim software-ima od strane Daikin ovlaštenog servisa.</t>
  </si>
  <si>
    <t>Predizolirane bakrene cijevi u kolutu za freonsku instalaciju plinske i tekuće faze namjenjene za rashladni medij R-410A . U kompletu sa spojnicama i koljenima, spojnim i pričvrsnim materijalom. Cijevi moraju biti odmašćene, očišćene i osušene prije ugradnje.</t>
  </si>
  <si>
    <t xml:space="preserve"> Φ 6,4 mm</t>
  </si>
  <si>
    <t>m</t>
  </si>
  <si>
    <t>1.13.</t>
  </si>
  <si>
    <t xml:space="preserve"> Φ 9,5 mm</t>
  </si>
  <si>
    <t>1.14.</t>
  </si>
  <si>
    <t xml:space="preserve"> Φ 12,7 mm</t>
  </si>
  <si>
    <t>1.15.</t>
  </si>
  <si>
    <t xml:space="preserve"> Φ 15,9 mm</t>
  </si>
  <si>
    <t>1.16.</t>
  </si>
  <si>
    <t xml:space="preserve"> Φ 19,1 mm</t>
  </si>
  <si>
    <t>1.17.</t>
  </si>
  <si>
    <t xml:space="preserve"> Φ 22,2 mm</t>
  </si>
  <si>
    <t>1.18.</t>
  </si>
  <si>
    <t xml:space="preserve"> Φ 28,6 mm</t>
  </si>
  <si>
    <t>1.19.</t>
  </si>
  <si>
    <t>Rashladni medij</t>
  </si>
  <si>
    <t>1.20.</t>
  </si>
  <si>
    <t>Rashladni medij R410A</t>
  </si>
  <si>
    <t>INSTALACIJA GRIJANJA I HLAĐENJA - SPLIT SUSTAV</t>
  </si>
  <si>
    <t>2MXM40M</t>
  </si>
  <si>
    <t>Vanjska jedinica multi split sustava, s radnom tvari R-32, za spajanje do 2 unutarnje jedinice, namjenjena za vanjsku montažu - zaštićena od vremenskih utjecaja, s ugrađenim inverter kompresorom, zrakom hlađenim kondenzatorom i svim potrebnim elementima za zaštitu i kontrolu.</t>
  </si>
  <si>
    <t>Kao proizvod Daikin tip: 2MXM40M</t>
  </si>
  <si>
    <t>Slijedećih tehničkih karakteristika:</t>
  </si>
  <si>
    <t>Sezonska učinkovitost (u skladu s EN14825)</t>
  </si>
  <si>
    <t>Napomena: Podaci o sezonskoj učinkovitosti odnose se na najnepovoljniju multi primjenu</t>
  </si>
  <si>
    <t>Hlađenje:</t>
  </si>
  <si>
    <t>Qh (maks.) = 4,0 kW</t>
  </si>
  <si>
    <t>SEER= 8,66/8,11</t>
  </si>
  <si>
    <t>Pdesign (maks./min.)= 4,00/3,00 kW</t>
  </si>
  <si>
    <t>Oznaka energetske učinkovitosti: A+++/A++</t>
  </si>
  <si>
    <t>Grijanje:</t>
  </si>
  <si>
    <t>Qg (maks./nom.) = 4,8/4,2 kW</t>
  </si>
  <si>
    <t>SCOP= 4,64/4,60</t>
  </si>
  <si>
    <t>Pdesign (maks./min.)= 3,20/3,00 kW</t>
  </si>
  <si>
    <t>Oznaka energetske učinkovitosti: A++</t>
  </si>
  <si>
    <t>Protok zraka hlađenje: 30,0 - 36,0 m3/min</t>
  </si>
  <si>
    <t>Protok zraka grijanje: 32 m3/min</t>
  </si>
  <si>
    <t>Nivo zvučnog tlaka: hlađenje: 48 dBA</t>
  </si>
  <si>
    <t>Nivo zvučnog tlaka: grijanje: 50 dBA</t>
  </si>
  <si>
    <t>Nivo zvučne snage: hlađenje: 60 dB(A)</t>
  </si>
  <si>
    <t>Nivo zvučne snage: grijanje: 62 dB(A)</t>
  </si>
  <si>
    <t>Dimenzije: 765 x 285 mm ; h = 550 mm</t>
  </si>
  <si>
    <t>Težina: 36 kg</t>
  </si>
  <si>
    <t>Maksimalna duljina cjevovoda od unutarnje do vanjske jedinice 20 m, od toga visinski 15 m.</t>
  </si>
  <si>
    <t>Priključak R-32: tekuća faza: 6,35x2 mm</t>
  </si>
  <si>
    <t>Priključak R-32: plinovita faza: 9,5x2 mm</t>
  </si>
  <si>
    <t>Radno područje: hlađenje: od -10 do 46°C</t>
  </si>
  <si>
    <t>Radno područje: grijanje: od -15 do 18°C</t>
  </si>
  <si>
    <t>Napajanje : 220-240 V / 50 Hz ~1</t>
  </si>
  <si>
    <t xml:space="preserve"> Unutarnje jedinice</t>
  </si>
  <si>
    <t>Unutarnja jedinica zidne izvedbe predviđena za montažu na zid opremljena je ventilatorom, 3-brzinskim elektromotorom, izmjenjivačem topline s direktnom ekspanzijom freona, te svim potrebnim elementima za zaštitu, kontrolu i regulaciju uređaja i temperature. Visokoučinkovita jedinica dostiže oznaku A++ u hlađenju. Tih i neometan rad s razinom buke od 21 dBA omogućuje da jedinica neprimjetno pruža visoku razinu komfora.</t>
  </si>
  <si>
    <t>FTXF20A+IR</t>
  </si>
  <si>
    <t>Qh = 2,0 kW (1,3-2,6)</t>
  </si>
  <si>
    <t>Qg = 2,5 kW (1,3-3,0)</t>
  </si>
  <si>
    <t>N(ukupno)= 0,017 / 0,02 kW - 220 V - 50 Hz</t>
  </si>
  <si>
    <t>Protok zraka: hlađenje: 4.4 - 9,8 m3/min</t>
  </si>
  <si>
    <t>Protok zraka: grijanje: 5,3 - 10,3 m3/min</t>
  </si>
  <si>
    <t>Nivo zvučnog tlaka: hlađenje: 20/25/33/39 dBA</t>
  </si>
  <si>
    <t>Nivo zvučnog tlaka: grijanje: 21/28/34/39 dBA</t>
  </si>
  <si>
    <t>Nivo zvučne snage: hlađenje: 55 dB(A)</t>
  </si>
  <si>
    <t>Nivo zvučne snage: grijanje: 55 dB(A)</t>
  </si>
  <si>
    <t>Dimenzije: (ŠxDxV)=(770x225x268) mm</t>
  </si>
  <si>
    <t>Težina: 9 kg</t>
  </si>
  <si>
    <t>Boja kućišta: Bijela</t>
  </si>
  <si>
    <t>Izolirane frigo bakrene cijevi (INABA DENKO PC) za izvedbu freonske instalacije parne i tekuće faze,cijevi moraju biti sa unutarnje strane odmašćene, prije ugradnje propuhane, u stavku cijevi uključen je sav pribor za spajanje, cijev-cijev te uređaj-cijev.</t>
  </si>
  <si>
    <t xml:space="preserve">Ø 9,52 mm </t>
  </si>
  <si>
    <t>metara</t>
  </si>
  <si>
    <t>Ø 6,35 mm</t>
  </si>
  <si>
    <t>Bakrene cijevi za odvod kondenzata sa unutrašnjih jedinica, u kompletu sa ovjesnim priborom i svim prijelazima, koljenima i ostalim potrošnim materijalom, dimenzija:</t>
  </si>
  <si>
    <t>Ø 22x1 mm</t>
  </si>
  <si>
    <t>2.6.</t>
  </si>
  <si>
    <t>Dobava izolacije za izoliranje bakrenog razvoda odvoda kondenzata, proizvod kao Armaflex XG, debljine 9mm, dimenzija:</t>
  </si>
  <si>
    <t>XG-09x022</t>
  </si>
  <si>
    <t>2.7.</t>
  </si>
  <si>
    <t>Profilno željezo za postavu i učvršćenje vanjskog uređaja na krov objekta sa antivibracionom podlogom, komplet sa vijcima i materijalom za učvršćenje, sve  antikorozivno zaštićeno.</t>
  </si>
  <si>
    <t>2.8.</t>
  </si>
  <si>
    <t>Sredstvo za hlađenje R32, za dopunjavanje u sustavu cijevi rashlada.</t>
  </si>
  <si>
    <t>2.9.</t>
  </si>
  <si>
    <t>Dobava sifona s nepovratnom kuglicom za sifoniranje odvodnje kondenzata kao HL 138.</t>
  </si>
  <si>
    <t>2.10.</t>
  </si>
  <si>
    <t>Sitni potrošni materijal koji nije obuhvaćen u navedenim stavkama, kao što su beskonačni vijci za učvršćenje, tiple, vijci, te materijal za tvrdo lotanje cijevi rashlada, u stavku uključeno, inertni plin (dušik) za ostvarivanje zaštitne atmosfere prilikom lotanja cijevi, srebro kao dodatni materijal za spajanje cijevi, plin i kisik za lotanje cijevi.</t>
  </si>
  <si>
    <t>iznos</t>
  </si>
  <si>
    <t>2.11.</t>
  </si>
  <si>
    <t>Potrebni elektro radovi na spajanju vanjske i unutrašnjih jedinice, spoj sa elektro ormarom, uključujući potrebno ožičenje.</t>
  </si>
  <si>
    <t>2.12.</t>
  </si>
  <si>
    <t>Montaža sa ispuhivanjem cijevnog razvoda tlačna proba sa N2 na 25 bara, vakumiranje razvoda, nadopunjavanjem sistema, puštanjem u pogon i upućivanjem osoblja u rad sistema, izdavanje atesta i garancija. U montažu uključeno i probijanje zidova za prolaz cijevi.</t>
  </si>
  <si>
    <t>INSTALACIJA POTROŠNE TOPLE VODE</t>
  </si>
  <si>
    <t>Sustav solarnih kolektora</t>
  </si>
  <si>
    <t>SET za 2 kolektora za ravni krov</t>
  </si>
  <si>
    <t>Solarni pločasti kolektor s izvedbom registra bakrenih cijevi oblika harfa s navarenim aluminijskim limom sa visoko selektivnom prevlakom, trajno otporni u stanju mirovanja i ispitani na toplinske šokove prekriveni siguronosnim staklom transmisije 92%. Minimalni solarni prinos kolektora veći od 525 kWh/m2godišnje kod 49% udjela pokrivanja.</t>
  </si>
  <si>
    <t>Proizvod kao DAIKIN V26P</t>
  </si>
  <si>
    <t>Dimenzija dxšxv: 2000x1300x85</t>
  </si>
  <si>
    <t>Bruto površina: 2,60m2</t>
  </si>
  <si>
    <t>Površina apsorbera: 2,36 m2</t>
  </si>
  <si>
    <t>Težina: 42 kg</t>
  </si>
  <si>
    <t>Sadržaj vode: 1,7 l</t>
  </si>
  <si>
    <t>Prevlaka: Miro-Therm (apsorpcija cca 96%, emisija cca 5%</t>
  </si>
  <si>
    <t>Toplinska izolacija: min.vuna 50 mm</t>
  </si>
  <si>
    <t>Max.pad tlaka kod 100 l/h : 3,0 mbar</t>
  </si>
  <si>
    <t>Moguči postavni kut: min-max 15°-80°</t>
  </si>
  <si>
    <t>Max.temperatura  stanja mirovanja: cca 200°C</t>
  </si>
  <si>
    <t>Max.radni tlak: 6 bar	kom	2</t>
  </si>
  <si>
    <t>Pribor za montažu kolektora na krov</t>
  </si>
  <si>
    <t>Spojni set za spajanje dva kolektora sadrži:</t>
  </si>
  <si>
    <t>- 1 spojnica</t>
  </si>
  <si>
    <t>- 2 spojnice sa nosačem - za povezivanje kolektora</t>
  </si>
  <si>
    <t>- 2 dvostruke pričvrsnice</t>
  </si>
  <si>
    <t>Proizvod kao DAIKIN FIX-VBP</t>
  </si>
  <si>
    <t>Šifra proizvoda: 16 20 16-RTX	set	1</t>
  </si>
  <si>
    <t>Montažni set za kolektor V26P</t>
  </si>
  <si>
    <t>Set sadrži:</t>
  </si>
  <si>
    <t>2 montažna profila</t>
  </si>
  <si>
    <t>2 ovjesne kuke</t>
  </si>
  <si>
    <t>Proizvod kao DAIKIN FIX MP130</t>
  </si>
  <si>
    <t>Šifra proizvoda: 16 20 67	set	2</t>
  </si>
  <si>
    <t>Pribor za montažu kolektora</t>
  </si>
  <si>
    <t>Montažni set za na ravni krov</t>
  </si>
  <si>
    <t>Osnovni set podkonstrukcije za 2 V26P</t>
  </si>
  <si>
    <t>Proizvod kao DAIKIN FB V26P</t>
  </si>
  <si>
    <t>Šifra proizvoda: 16 20 58	set	1</t>
  </si>
  <si>
    <t>Solarni set s pumpom i mjernim uređajima za tlačni sustav koji se sastoji od : cjevni priključak fi 22 (5x), mjerač protoka s  2  KFE ventila, isustavom za odzračivanje, kuglaste slavine s nepovratnim ventilom, Grundfos Solar 25-65 pumpom,sig. grupa s tlakomjerom, izolacija i ovjesni pribor</t>
  </si>
  <si>
    <t>Proizvod kao DAIKIN RDS2</t>
  </si>
  <si>
    <t>Radni napon: 230 V/ 50 Hz	kom	1</t>
  </si>
  <si>
    <t>Solarna automatika za vođenje tlačne solarne grupe, s predefiniranim hidrauličkim shemama, grafičkim display-em, prikazom godišnje bilance energije. Uključuje senzore i kučište za zidnu montažu</t>
  </si>
  <si>
    <t>Proizvod kao DAIKIN DSR1</t>
  </si>
  <si>
    <t>Cjevovod za tlačni sustav DN16 - dužine 15m</t>
  </si>
  <si>
    <t>Proizvod DAIKIN tip CON15P16</t>
  </si>
  <si>
    <t>Šifra proizvoda : 16 20 73	kom	1</t>
  </si>
  <si>
    <t>Spojni set za Drain back sustav za DN 16</t>
  </si>
  <si>
    <t>Proizvod DAIKIN tip CONCP16</t>
  </si>
  <si>
    <t>Šifra proizvoda : 16 20 75	kom	1</t>
  </si>
  <si>
    <t>Ekspanzijska posuda za tlačni solarni sustav</t>
  </si>
  <si>
    <t>Proizvod DAIKIN tip MAG S12</t>
  </si>
  <si>
    <t>Šifra proizvoda : 16 20 50	kom	1</t>
  </si>
  <si>
    <t>Pribor za spoj kolektora</t>
  </si>
  <si>
    <t>Montažni kit za kolektore sastoji se od:</t>
  </si>
  <si>
    <t>- 2 priključna spoja za tlačni cjevovod i kolektore</t>
  </si>
  <si>
    <t>- izolacija s UV zaštitom 2m</t>
  </si>
  <si>
    <t>- integrirani senzor s kablom</t>
  </si>
  <si>
    <t>- spojni fiting</t>
  </si>
  <si>
    <t>Proizvod kao DAIKIN RCP</t>
  </si>
  <si>
    <t>Šifra proizvoda: 16 20 39-RTX	set	1</t>
  </si>
  <si>
    <t>PCB adapter za određivanje prioriteta solara naspram dizalice topline u režimu pripreme PTV</t>
  </si>
  <si>
    <t>Spojni kit sadrži:</t>
  </si>
  <si>
    <t>- PCB kit</t>
  </si>
  <si>
    <t>- kabl za spajanje</t>
  </si>
  <si>
    <t>Proizvod kao DAIKIN EKRP1HBA</t>
  </si>
  <si>
    <t>Šifra proizvoda: EKRP1HBA</t>
  </si>
  <si>
    <t>Proizvod kao DAIKIN BSKK</t>
  </si>
  <si>
    <t>Šifra proizvoda: 16 41 10-RTX	set	1</t>
  </si>
  <si>
    <t>Proizvod Daikin tip EKHH2E260PAV3</t>
  </si>
  <si>
    <t>Qgr = 1,8 kW</t>
  </si>
  <si>
    <t>COP = 3,1 (W 10-55, Ta=20°C, Ts=7°C)</t>
  </si>
  <si>
    <t>Energetski razred: A+</t>
  </si>
  <si>
    <t>Snaga dodatnog el. grijača 1,5 kW</t>
  </si>
  <si>
    <t>Volumen spremnika:  248 l</t>
  </si>
  <si>
    <t>Max. radni tlak: 7 bar</t>
  </si>
  <si>
    <t>Vrijeme zagrijavanja 10:14 hh:mm</t>
  </si>
  <si>
    <t>Vrijeme zagrijavanja BOOST:  05:06 hh:mm</t>
  </si>
  <si>
    <t>Gubici topline prema UNI EN 12897-2006: 71 W</t>
  </si>
  <si>
    <t>Dimenzije: promjer/visina - 650/2000 mm</t>
  </si>
  <si>
    <t>Težina u pogonu: 360 kg</t>
  </si>
  <si>
    <t>Radna tvar: R134a</t>
  </si>
  <si>
    <t>Zvučna snaga: 53 dBA</t>
  </si>
  <si>
    <t>Napajanje =  1 f / 230 V / 50 Hz</t>
  </si>
  <si>
    <t>Radno područje: -7 - 38 °C (ispod -7°C sa dodatnim el. grijačem)</t>
  </si>
  <si>
    <t>Max temp vode: 62°C (75°C sa dodatnim el. grijačem)</t>
  </si>
  <si>
    <t>Priključak zraka: 160 mm</t>
  </si>
  <si>
    <t>Protok zraka: 350 - 500 m3/h</t>
  </si>
  <si>
    <t>ESP: 120 Pa</t>
  </si>
  <si>
    <t>Površina dodatnog izmjenjivača: 1 m2</t>
  </si>
  <si>
    <t>Volumen dodatnog izmjenjivača: 5,9 l</t>
  </si>
  <si>
    <t>Priključci:</t>
  </si>
  <si>
    <t>- topla voda: G 1''</t>
  </si>
  <si>
    <t>- hladna voda: G 1''</t>
  </si>
  <si>
    <t>- recirkulacija: G 3/4''</t>
  </si>
  <si>
    <t>- kondenzat: G 1/2''</t>
  </si>
  <si>
    <t>- dodatni izmjenjivač: G 1'' 1/4</t>
  </si>
  <si>
    <t>Puštanje u pogon Altherme</t>
  </si>
  <si>
    <t>Puštanje u pogon Altherme uključivo sljedeće: vizulanu provjera oštećenja, radne tvari, curenja lja ili vode, ugradnje i podloge jedinice, provjera mjera za sprječavanje vibracija. provjera električnih priključaka, napona i frekvencije napajanja svih triju faza, provjera naponske ravnoteže, rad uljnih grijača, provjera temperatura i tlakova ulja, radne tvari i vode od strane Daikin ovlaštenog servisera uz izdavanje potrebnih uputa za korištenje, atesta i garancija.</t>
  </si>
  <si>
    <t>VENTILACIJA VRTIČKIH GRUPA</t>
  </si>
  <si>
    <t>Rekuperatorska ventilacijska jedinica horizontalne izvedbe sa pločastim polipropilenskim rekuperatorom i integriranim el. grijačem, sa ugrađenim bypassom, filterima na tlaku i odsisu, tlačnim i odsisnim ventilatorima, te svim potrebnim elementima za zaštitu, kontrolu i regulaciju uređaja i temperature. Uređaj radi samostalno. U kompletu sa priborom za podstropnu montažu.</t>
  </si>
  <si>
    <t>Proizvod SALDA, tip RIS 1000 PE 3.0</t>
  </si>
  <si>
    <t>Tehnički podaci za uvjete:</t>
  </si>
  <si>
    <t>Tv = 34°C ST, 40% RH</t>
  </si>
  <si>
    <t>Tp = 30°C ST, 60% RH</t>
  </si>
  <si>
    <t>Tv= -6°C ST, 50% RH</t>
  </si>
  <si>
    <t>Tp = 28°C ST, 60% RH</t>
  </si>
  <si>
    <t>VZ = 1000 m3/h</t>
  </si>
  <si>
    <t>ESP = 200 Pa</t>
  </si>
  <si>
    <t>Buka (tlak/odsis/okolina) na 250 Hz, 935 m3/h i 90 Pa: 59/43/46 dB(A)</t>
  </si>
  <si>
    <t>Stupanj učink.: 90%</t>
  </si>
  <si>
    <t>dimenzije: 1500 x 950 mm ; h = 495 mm</t>
  </si>
  <si>
    <t>težina: 113 kg</t>
  </si>
  <si>
    <t>N = 6,63 kW - 230 V - 50 Hz</t>
  </si>
  <si>
    <t xml:space="preserve">Priključak zraka: 4 x Ø315 mm </t>
  </si>
  <si>
    <t>Stavka uključuje pripadajući žićani daljinski upravljač za kontrolu i regulaciju rekuperatorske jedinice.</t>
  </si>
  <si>
    <t>Proizvod SALDA, tip RIS2500 PE 4.5 EKO 3.0</t>
  </si>
  <si>
    <t>VZ = 2500 m3/h</t>
  </si>
  <si>
    <t>ESP = 500 Pa</t>
  </si>
  <si>
    <t>dimenzije: 1970 x 1950 mm ; h = 506 mm</t>
  </si>
  <si>
    <t>težina: 320 kg</t>
  </si>
  <si>
    <t>N = 1,4kW - 400 V - 50 Hz</t>
  </si>
  <si>
    <t>Dobava kanalskog elektrogrijača zraka s integriranom automatikom za upravljanje, proizvod SALDA, tip EKA NV 315-5.0-2F PH, slijedećih karakteristika:</t>
  </si>
  <si>
    <t xml:space="preserve"> - snaga: 5,0 kW</t>
  </si>
  <si>
    <t xml:space="preserve"> - napon: 2x400 V </t>
  </si>
  <si>
    <t xml:space="preserve"> - dimenzije priključka: Ø315 mm</t>
  </si>
  <si>
    <t xml:space="preserve">Dodatna oprema: </t>
  </si>
  <si>
    <t xml:space="preserve"> - kanalski osjetnik temperature TJK-10K</t>
  </si>
  <si>
    <t>Prigušivač zvuka za montažu na limeni kanal rekuperatora, u svrhu smanjenja buke, kao proizvod Klimaoprema, sljedećih karakteristika:</t>
  </si>
  <si>
    <t>PZC-J 355-1500</t>
  </si>
  <si>
    <t xml:space="preserve"> - dužina : 1500 mm</t>
  </si>
  <si>
    <t xml:space="preserve"> - promjer : 355 mm</t>
  </si>
  <si>
    <t xml:space="preserve"> - prigušenje buke pri 250Hz : 17 dB</t>
  </si>
  <si>
    <t xml:space="preserve"> - pad tlaka u prigušivaču pri 250Hz : 4 Pa</t>
  </si>
  <si>
    <t>Stropni vrtložni distributer za ubacivanje zraka u prostor, za ugradnju u spušteni strop ili vidljivo pod stropom, u kompletu sa priključnom kutijom sa priključkom za fleksibilnu cijev, s mogućnošću regulacije količine zraka, isporučen sa materijalom potrebnim za montažu. Distributer proizvod Klimaoprema, slijedećih tipova i količina:</t>
  </si>
  <si>
    <t>DEV-K-300/8-B-A-H-Ø158-Z</t>
  </si>
  <si>
    <t>komada</t>
  </si>
  <si>
    <t>DEV-K-400/16-B-A-H-Ø198-Z</t>
  </si>
  <si>
    <t>Stropni vrtložni distributer za odsis zraka iz prostora, za ugradnju u spušteni strop ili vidljivo pod stropom, u kompletu sa priključnom kutijom sa priključkom za fleksibilnu cijev, s mogućnošću regulacije količine zraka, isporučen sa materijalom potrebnim za montažu. Distributer proizvod Klimaoprema, slijedećih tipova i količina:</t>
  </si>
  <si>
    <t>DEV-K-400/16-B-B-H-Ø198-Z</t>
  </si>
  <si>
    <t>Dobava prestrujnih rešetki za montažu pri dnu vrata, proizvod Klimaoprema, tip:</t>
  </si>
  <si>
    <t>OAS-R 425x125 mm</t>
  </si>
  <si>
    <t>4.8.</t>
  </si>
  <si>
    <t>Dobava protupožarne zaklopke okruglog presjeka, s aktivacijom preko termičke ampule i vatrodojavne centrale, vatrootpornosti EI90, s elektromotornim pogonom i krajnjim kontaktima za indikaciju stanja, proizvod Klimaoprema, slijedećih tipova:</t>
  </si>
  <si>
    <t>FDC25-Ø315-M230-S</t>
  </si>
  <si>
    <t>4.9.</t>
  </si>
  <si>
    <t>Dobava zaštitnih mrežica za montažu na kraj tlačnih i odsisnih kanala na krovu, slijedećih promjera:</t>
  </si>
  <si>
    <t>Ø315 mm</t>
  </si>
  <si>
    <t>4.10.</t>
  </si>
  <si>
    <t>Kanal od pocinčanog lima za formiranje razvoda ventilacije, komplet sa spojnim i brtvenim materijalom, slijedećih dimenzija:</t>
  </si>
  <si>
    <t>Ø200 mm</t>
  </si>
  <si>
    <t>Ø250 mm</t>
  </si>
  <si>
    <t>4.11.</t>
  </si>
  <si>
    <t>Spiro koljeno 90°, od pocinčanog lima, u kompletu sa spojnim i brtvenim materijalom, dimenzija:</t>
  </si>
  <si>
    <t>4.12.</t>
  </si>
  <si>
    <t>Dobava i montaža prijelaznih komada (redukcija), izrađenih od poc. lima, u kompletu sa spojnim, ovjesnim i brtvenim materijalom, slijedećih dimenzija:</t>
  </si>
  <si>
    <t>Ø200/Ø250</t>
  </si>
  <si>
    <t>Ø250/Ø315</t>
  </si>
  <si>
    <t>4.13.</t>
  </si>
  <si>
    <t>Dobava i montaža ovjesnih šina tip 2-2G, za pričvršćenje okruglih limenih kanala za strop etaže, u kompletu sa sidrenim vijcima, maticom, podloškom, obujmicama, regulatorom visine, zvučnim izolacijskim elementom, kao proizvod Sikla ili jednako vrijedan.</t>
  </si>
  <si>
    <t>kompleta</t>
  </si>
  <si>
    <t>4.14.</t>
  </si>
  <si>
    <t>Izolacija limenih kanala tlačne ventilacije, odsisnog kanala u vanjskom prostoru (duplim slojem), izolacijom sa paronepropusnom branom (koeficijent difuzije vodene pare 7000) kao proizvod Armaflex XG, debljine 19mm, u pločama u roli, u samoljepljivoj izvedbi, oznake:</t>
  </si>
  <si>
    <t>XG-19-99/EA</t>
  </si>
  <si>
    <t>m²</t>
  </si>
  <si>
    <t>4.15.</t>
  </si>
  <si>
    <t>Izrada revizijskih otvora u spuštenom stropu, dimenzije 60x60 cm, za potrebe servisa elektrogrijača i protupožarnih zaklopki. U stavci obuhvatiti sav potreban montažni pribor.</t>
  </si>
  <si>
    <t>4.16.</t>
  </si>
  <si>
    <t>Izrada revizijskih otvora u spuštenom stropu, dimenzije 150x100 cm, za potrebe servisa rekuperatora. U stavci obuhvatiti sav potreban montažni pribor.</t>
  </si>
  <si>
    <t>4.17.</t>
  </si>
  <si>
    <t>Sitni pričvrsni i spojni materijal kao što su vijci, tipli, "blok" zakovice, samonarezni vijci, trake i šipke za ovješenje i pričvršćenje  kanala, materijal za brtvljenje i drugo.</t>
  </si>
  <si>
    <t>4.18.</t>
  </si>
  <si>
    <t>Nepropusno brtvljenje svih prodora (zidovi, podovi, stropovi) za prolaz plinovitog medija instalacije grijanja i hlađenja negorivim kitom ili vatrootpornim mortom.</t>
  </si>
  <si>
    <t>4.19.</t>
  </si>
  <si>
    <t>Transportni troškovi dovoza i odvoza materijala i alata.</t>
  </si>
  <si>
    <t>4.20.</t>
  </si>
  <si>
    <t>Prikupljanje svih atesta ugrađene opreme, priprema sve potrebne dokumentacije za tehnički pregled objekta, te vođenje dnevnika građenja.</t>
  </si>
  <si>
    <t>4.21.</t>
  </si>
  <si>
    <t>Elektro spajanje rekuperatora i prateće opreme sa puštanjem u pogon od ovlaštenog servisera.</t>
  </si>
  <si>
    <t>4.22.</t>
  </si>
  <si>
    <t>Montaža navedene opreme i materijala do potpune pogonske gotovosti. U montaži obuhvatiti sve pomoćne radove, probni pogon, regulaciju količina zraka, osposobljavanje ljudstva za rukovanje instalacijom, izradu uputstava za rad i održavanje, izradu projekta izvedenog stanja, balansiranje sustava ventilacije, mjerenja količina zraka i mikroklime po prostorima uz izdavanje atasta o izvršenim  ispitivanjima od ovlaštene ustanove.</t>
  </si>
  <si>
    <t>ODSISNA VENTILACIJA SANITARIJA</t>
  </si>
  <si>
    <t>Ventilator za zidnu/stropnu montažu za odsis zraka iz prostorije, sa stupnjem zaštite IP-X5, vremenskim timerom, termičkom zaštitom od pregrijavanja i zaklopkom za spriječavanje ulaska povratnog zraka. Ventilator je smješten u kučištu od kvalitetnog sintetičkog materijala i slijedećih je karakteristika:</t>
  </si>
  <si>
    <t xml:space="preserve"> - max. protok zraka:           100 m3/h</t>
  </si>
  <si>
    <t xml:space="preserve"> - visina dobave:                 20 Pa    </t>
  </si>
  <si>
    <t xml:space="preserve"> - snaga:                             9 W</t>
  </si>
  <si>
    <t>Proizvod "HELIOS" MiniVent tip M1/120 N</t>
  </si>
  <si>
    <t>Zaštitna krovna kapa za montažu na završetak ventilacijske cijevi radi spriječavanja ulaska kišnih oborina, u kompletu sa spojnim elementom i krovnim postoljem za ravni krov, proizvod Helios, tip:</t>
  </si>
  <si>
    <t>DH 100 S + FDP 100 S</t>
  </si>
  <si>
    <t>Ø100 mm</t>
  </si>
  <si>
    <t>5.5.</t>
  </si>
  <si>
    <t>5.6.</t>
  </si>
  <si>
    <t>5.7.</t>
  </si>
  <si>
    <t>5.8.</t>
  </si>
  <si>
    <t>Elektro spajanje i prateće opreme sa puštanjem u pogon od ovlaštenog servisera.</t>
  </si>
  <si>
    <t>5.9.</t>
  </si>
  <si>
    <t>VENTILACIJA SPREMIŠTA I SANITARIJA</t>
  </si>
  <si>
    <t>Kanalski tlačni ventilator (TV-S), za ubacivanje zraka u prostorije spremišta. Ventilator ima rotor sa unatrag zakrivljenim lopaticama, smješten u kućištu od pocinčanog lima i slijedećih je tehničkih karakteristika:</t>
  </si>
  <si>
    <t xml:space="preserve"> - protok zraka           520 m3/h</t>
  </si>
  <si>
    <t xml:space="preserve"> - visina dobave         200 Pa    </t>
  </si>
  <si>
    <t xml:space="preserve"> - snaga                     N=120 W</t>
  </si>
  <si>
    <t xml:space="preserve"> - napon                     U=230 V</t>
  </si>
  <si>
    <t>Proizvod "Helios", tip RR EC 200 A</t>
  </si>
  <si>
    <t>Dodatna oprema:</t>
  </si>
  <si>
    <t>- fleksibilne spojnice BM 200</t>
  </si>
  <si>
    <t>- kanalski filter zraka LFBR 200, klase G4</t>
  </si>
  <si>
    <t>- bezstupanjski regulator brzine vrtnje ventilatora ESU 1</t>
  </si>
  <si>
    <t>Dobava električnog kanalskog grijača zraka, za montažu na tlačni kanal svježeg zraka, u kompletu sa priborom za montažu i integriranom automatikom za rad, izrađenog od pocinčanog lima, slijedećih tehničkih karakteristika:</t>
  </si>
  <si>
    <t>- snaga                                           5,0 kW</t>
  </si>
  <si>
    <t xml:space="preserve">- napon                                          400 V, 2ph </t>
  </si>
  <si>
    <t>- struja                                           12,5 A</t>
  </si>
  <si>
    <t>- minimalni protok zraka                 180 m3/h</t>
  </si>
  <si>
    <t>- dimenzije priključka                      200 mm</t>
  </si>
  <si>
    <t>Proizvod Helios, tip EHR-R 5/200 TR</t>
  </si>
  <si>
    <t>- kanalski osjetnik temperature TFK i osjetnik protoka SWT.</t>
  </si>
  <si>
    <t>Kanalski odsisni ventilator (OV-1), za odsis zraka iz sanitarija kuhinje. Ventilator ima rotor sa unatrag zakrivljenim lopaticama, smješten u kućištu od pocinčanog lima i slijedećih je tehničkih karakteristika:</t>
  </si>
  <si>
    <t xml:space="preserve"> - protok zraka            200 m3/h</t>
  </si>
  <si>
    <t xml:space="preserve"> - visina dobave         150 Pa    </t>
  </si>
  <si>
    <t xml:space="preserve"> - snaga                      N=110 W</t>
  </si>
  <si>
    <t xml:space="preserve"> - napon                      U=230 V</t>
  </si>
  <si>
    <t>Proizvod "Helios", tip RR EC 125</t>
  </si>
  <si>
    <t>- fleksibilne spojnice BM 125</t>
  </si>
  <si>
    <t>FDC25-Ø200-M230-S</t>
  </si>
  <si>
    <t>6.5.</t>
  </si>
  <si>
    <t>6.6.</t>
  </si>
  <si>
    <t>6.7.</t>
  </si>
  <si>
    <t>6.8.</t>
  </si>
  <si>
    <t>6.9.</t>
  </si>
  <si>
    <t>6.10.</t>
  </si>
  <si>
    <t>6.11.</t>
  </si>
  <si>
    <t>Elektro spajanje ventilatora i prateće opreme sa puštanjem u pogon od ovlaštenog servisera.</t>
  </si>
  <si>
    <t>6.12.</t>
  </si>
  <si>
    <t>ELEKTRIČNI RADIJATORI I PODNO GRIJANJE</t>
  </si>
  <si>
    <t>Električne sobne grijalice eloMENT VER rade na načelu prirodnog strujanja zraka (konvekcije). Mogu se koristiti za zagrijavanje kupaonica, garaža i svih stambenih prostorija. Grijalice posjeduju zaštitu protiv prskajuće vode (IP24). Zrakoispusne rešetke su smještene u razini prednje stranice, tako da ima dovoljno prostora između toplog zraka i zida odnosno zavjesa, čime se izbjegava onečišćenje istih. Ravnomjerna i niža izlazna temperatura toplog zraka pruža ujedno veću udobnost korisniku. Pomoću integiranog digitalnog termostata s pozadninskim osvijetljenjem moguća je regulacija temperature u rasponu od 5 do 30 C, u zadanim vremenskim intervalima. Dodatno, korisniku je na raspolaganju zaštita od smrzavanja, zaštita od otvorenog prozora te unaprijed definiranim radni režimi "noć" ili dan".</t>
  </si>
  <si>
    <t>Vaillant eloMENT VER, Qel=750 W</t>
  </si>
  <si>
    <t>Instalacija električnog podnog grijanja</t>
  </si>
  <si>
    <t>Dobava sustava električnog podnog grijanja,
sastavljenog od samoljepive mrežice i
upletenog grijaćeg kabla debljine 2,3 mm za
polaganje na glazuru ispod keramičkih pločica.
Širina grijaće podloge je 0,5 m, dužina prema
potrebi od 2 - 16 metara, što čini komplete od 1 -
8 m2, u koracima od 0,5 m2. Samoljepivu
mrežicu, kao nosivu potkonstrukciju grijaćeg
kabla je moguće rezati i rotirati, te na taj način
formirati podlogu, pri čemu grijaći kabel mora
ostati neprekinut. Grijaća podloga je kao
proizvod Devi, tip DSVF (150 W/m2), slijedećih
površina i učina grijanja:</t>
  </si>
  <si>
    <t>Kao DSVF-150 ili jednakovrijedno</t>
  </si>
  <si>
    <t>m2</t>
  </si>
  <si>
    <t>7.3.</t>
  </si>
  <si>
    <t>Dobava regulatora podnih grijanja sa sobnim i
podnim osjetnikom temperature, kao proizvod
DEVI, tip Devireg 532.</t>
  </si>
  <si>
    <t>7.4.</t>
  </si>
  <si>
    <t>Štemanje zidova za podžbukno vođenje kablova prilikom postavljanja osjetnika temperature podnog grijanja u pod, cca 1,5 metar po regulatoru.</t>
  </si>
  <si>
    <t>7.5.</t>
  </si>
  <si>
    <t xml:space="preserve">Dobava sitnog potrošnog materijala.  </t>
  </si>
  <si>
    <t>7.6.</t>
  </si>
  <si>
    <t>Elektrospajanje električnih radijatora od strane ovlaštenog servisera.</t>
  </si>
  <si>
    <t>7.7.</t>
  </si>
  <si>
    <t>Montaža dobavljenog materijala.</t>
  </si>
  <si>
    <t>REKAPITULACIJA RADOVA</t>
  </si>
  <si>
    <t>Ukupno
[kn]</t>
  </si>
  <si>
    <t>UKUPNO IZNOS:</t>
  </si>
  <si>
    <t xml:space="preserve">    TROŠKOVNIK ELEKTRO RADOVA NA DJEČJEM VRTIĆU</t>
  </si>
  <si>
    <t>U PRIVLACI, INV. OPĆINA PRIVLAKA</t>
  </si>
  <si>
    <t>jedinica mjere</t>
  </si>
  <si>
    <t>NAPOMENA:</t>
  </si>
  <si>
    <t>Cijena za svaku stavku troškovnika mora obuhvatiti dobavu, montažu, spajanje po potrebi, uzemljenje, te dovođenje svake stavke u stanje potpune funkcionalnosti.
U cijenu također ukalkulirati sav potreban materijal, spojni i montažni (potpuno funkcioniranje svake od stavki).
Ponuđač radova mora ponuditi sve stavke iz ovog troškovnika. Ukoliko neke od stavki ne nudi ili predlaže alternativu, u svojoj ponudi to mora posebno naglasiti.
Oznake razvodnih ploča izvesti na graviranoj pločici, kao i sve natpise na vratima ormara.
Izrađujući ponudu treba imati na umu najnovije važeće propise za pojedine vrste instalacije.</t>
  </si>
  <si>
    <t>Prije davanja ponude obavezno pročitati tehnički opis i pogledati nacrte.</t>
  </si>
  <si>
    <t>A)</t>
  </si>
  <si>
    <t>ELEKTRIČNI RAZVODNI ORMARI</t>
  </si>
  <si>
    <r>
      <t xml:space="preserve">Dobava i ugradnja  priključnog   ormara "KPMO" </t>
    </r>
    <r>
      <rPr>
        <sz val="10"/>
        <rFont val="Arial CE"/>
        <charset val="238"/>
      </rPr>
      <t>(vlasništvo DP-ELEKTRA), prema projektu ugrađenog na pročelju objekta, ili drugačije u dogovoru između investitora i HEPa. Ormar je izrađen od dvostrukog dekapiranog lima 2,0mm (boja siva RAL), ormar je ugradni, max. širine 140cm i dubine 25cm. Vrata ormara s bravicom u vlasništvu "HEP-ODS" d.o.o. DP Elektra Zadar.  U ploču montirati slijedeće elemente,  iz asortimana tvrtke Legrand, Schneider, ili sl.:</t>
    </r>
  </si>
  <si>
    <t>-</t>
  </si>
  <si>
    <t>Rastavljačko - osiguračka pruga, podnožja 160A, komplet sa tropolnim osiguračem 125A sa spojim materijalom.</t>
  </si>
  <si>
    <t>Odvodnik valnog prenapona SPD 75kA, 3P+N, klase "II"</t>
  </si>
  <si>
    <t>Trofazno dvotarifno kombi brojilo 125A sa automatskim prebacivanjem tarifa.</t>
  </si>
  <si>
    <t>Cu sabirnice 160 A, tropolne izolirane</t>
  </si>
  <si>
    <t>Spojna oprema</t>
  </si>
  <si>
    <t>komplet</t>
  </si>
  <si>
    <t xml:space="preserve">Bravica tip "ELEKTRA" </t>
  </si>
  <si>
    <t>Nespecifirani materijal, stopice, spojni kabeli, vijci i stezaljke.</t>
  </si>
  <si>
    <t>paušal</t>
  </si>
  <si>
    <r>
      <t xml:space="preserve">  ORMAR </t>
    </r>
    <r>
      <rPr>
        <b/>
        <sz val="10"/>
        <rFont val="Arial CE"/>
        <family val="2"/>
        <charset val="238"/>
      </rPr>
      <t xml:space="preserve">"KPMO"  </t>
    </r>
    <r>
      <rPr>
        <sz val="10"/>
        <rFont val="Arial CE"/>
        <family val="2"/>
        <charset val="238"/>
      </rPr>
      <t xml:space="preserve"> SVEUKUPNO</t>
    </r>
  </si>
  <si>
    <t>kompl</t>
  </si>
  <si>
    <r>
      <t xml:space="preserve">Dobava i ugradnja glavnog razvodnog  ormara  "GRO" izrađenog od dvostrukog dekapiranog lima 2,0mm (boja siva RAL)i. </t>
    </r>
    <r>
      <rPr>
        <sz val="10"/>
        <rFont val="Arial CE"/>
        <family val="2"/>
        <charset val="238"/>
      </rPr>
      <t xml:space="preserve"> Ploča minimalnih dimenzija 140x100x15cm (ŠxVxD)
U ploču montirati slijedeće elemente,  iz asortimana tvrtke Legrand, Schneider ili sl.:</t>
    </r>
  </si>
  <si>
    <t xml:space="preserve">Glavni prekidač snage, tropolni, Un=400 V, 50 Hz, nazivne struje 160A, Ir=125A, sa regulacijom termičke zaštite, nazivne granične prekidne moći 36kA, komplet sa relejem za daljinski isklop 230V i relejem za daljinski isklop 12/24V
</t>
  </si>
  <si>
    <t>Odvodnik valnog prenapona SPD 40kA, 3P+N, klase "II"</t>
  </si>
  <si>
    <t>Rastavljačko - osiguračka pruga tropolna, podnožja 125A (paket sklopka), komplet s tropolnim osiguračem 80A. Ugradnja na DIN shinu, komplet sa spojnim materijalom.</t>
  </si>
  <si>
    <t>Rastavljačko - osiguračka pruga tropolna, podnožja 125A (paket sklopka), komplet s tropolnim osiguračem 63A. Ugradnja na DIN shinu, komplet sa spojnim materijalom.</t>
  </si>
  <si>
    <t xml:space="preserve">Kombinacija prekidač/strujna zaštitna sklopka 40/0,03A/4P </t>
  </si>
  <si>
    <t xml:space="preserve">Kombinacija prekidač/strujna zaštitna sklopka 25/0,03A/4P </t>
  </si>
  <si>
    <t xml:space="preserve">Instalacijski prekidač tropolni 16A, 6kA "B" karakt. </t>
  </si>
  <si>
    <t xml:space="preserve">Instalacijski prekidač tropolni 25A, 6kA "B" karakt. </t>
  </si>
  <si>
    <t xml:space="preserve">Instalacijski prekidač tropolni 20A, 6kA "C" karakt. </t>
  </si>
  <si>
    <t xml:space="preserve">Instalacijski prekidač jednopolni 16A, 6kA "B" karakt. </t>
  </si>
  <si>
    <t xml:space="preserve">Instalacijski prekidač jednopolni 10A, 6kA "B" karakt. </t>
  </si>
  <si>
    <t xml:space="preserve">Instalacijski prekidač jednopolni 6A, 6kA "B" karakt. </t>
  </si>
  <si>
    <t>Izborna preklopka 1-0-2, ugradnja na DIN shinu</t>
  </si>
  <si>
    <t xml:space="preserve">Instalacijski sklopnik 3-polni 40A </t>
  </si>
  <si>
    <t>svjetlosna sklopka - LUKSOMAT, sa vanjskom sondom</t>
  </si>
  <si>
    <t>Bistabilni relej, 16A/230V</t>
  </si>
  <si>
    <t>Cu sabirnice 160A, troopolne</t>
  </si>
  <si>
    <t>Nespecifirani materijal, stopice, spojni kabeli, POK kanali, vijci i stezaljke.</t>
  </si>
  <si>
    <r>
      <t xml:space="preserve">PLOČA  </t>
    </r>
    <r>
      <rPr>
        <b/>
        <sz val="10"/>
        <rFont val="Arial CE"/>
        <family val="2"/>
        <charset val="238"/>
      </rPr>
      <t xml:space="preserve">"GRO"  </t>
    </r>
    <r>
      <rPr>
        <sz val="10"/>
        <rFont val="Arial CE"/>
        <family val="2"/>
        <charset val="238"/>
      </rPr>
      <t xml:space="preserve"> SVEUKUPNO</t>
    </r>
  </si>
  <si>
    <r>
      <t xml:space="preserve">Dobava i ugradnja glavnog razvodnog  ormara  RP-KUH izrađenog od metala. </t>
    </r>
    <r>
      <rPr>
        <sz val="10"/>
        <rFont val="Arial CE"/>
        <family val="2"/>
        <charset val="238"/>
      </rPr>
      <t xml:space="preserve"> Ormar dimenzija 18x4 modula, min. Dubine 12cm. Ormar se montira nadžbukno.
U ploču montirati slijedeće elemente,  iz asortimana tvrtke Legrand, Schneider ili sl.:</t>
    </r>
  </si>
  <si>
    <t xml:space="preserve">Glavni prekidač snage, tropolni, Un=400 V, 50 Hz, nazivne struje 125A, Ir=50A, sa regulacijom termičke zaštite, nazivne granične prekidne moći 15kA, komplet sa relejem za daljinski isklop 230V 
</t>
  </si>
  <si>
    <t xml:space="preserve">Kombinacija prekidač/strujna zaštitna sklopka 63/0,03A/4P </t>
  </si>
  <si>
    <t>Cu sabirnice 100A, troopolne</t>
  </si>
  <si>
    <r>
      <t xml:space="preserve">PLOČA  </t>
    </r>
    <r>
      <rPr>
        <b/>
        <sz val="10"/>
        <rFont val="Arial CE"/>
        <family val="2"/>
        <charset val="238"/>
      </rPr>
      <t xml:space="preserve">"RP-KUH"  </t>
    </r>
    <r>
      <rPr>
        <sz val="10"/>
        <rFont val="Arial CE"/>
        <family val="2"/>
        <charset val="238"/>
      </rPr>
      <t xml:space="preserve"> SVEUKUPNO</t>
    </r>
  </si>
  <si>
    <r>
      <t xml:space="preserve">Dobava i ugradnja razdjelne ploče RP-01, </t>
    </r>
    <r>
      <rPr>
        <sz val="10"/>
        <rFont val="Arial CE"/>
        <family val="2"/>
        <charset val="238"/>
      </rPr>
      <t>ugradne, izrađene od plastike. Ploča je troredna (12x3 modula,) s bijelim vratima. U ploču montirati slijedeće elemente,  iz asortimana tvrtke Legrand, Schneider, ili sl:</t>
    </r>
  </si>
  <si>
    <t>Cu sabirnice 100A, tropolne</t>
  </si>
  <si>
    <r>
      <t>PLOČA</t>
    </r>
    <r>
      <rPr>
        <b/>
        <sz val="10"/>
        <rFont val="Arial CE"/>
        <family val="2"/>
        <charset val="238"/>
      </rPr>
      <t xml:space="preserve"> "RP-01" </t>
    </r>
    <r>
      <rPr>
        <sz val="10"/>
        <rFont val="Arial CE"/>
        <family val="2"/>
        <charset val="238"/>
      </rPr>
      <t>SVEUKUPNO</t>
    </r>
  </si>
  <si>
    <r>
      <t xml:space="preserve">Dobava i ugradnja razdjelne ploče RP-02, </t>
    </r>
    <r>
      <rPr>
        <sz val="10"/>
        <rFont val="Arial CE"/>
        <family val="2"/>
        <charset val="238"/>
      </rPr>
      <t>ugradne, izrađene od plastike. Ploča je troredna (12x3 modula,) s bijelim vratima. U ploču montirati slijedeće elemente,  iz asortimana tvrtke Legrand, Schneider, ili sl:</t>
    </r>
  </si>
  <si>
    <r>
      <t>PLOČA</t>
    </r>
    <r>
      <rPr>
        <b/>
        <sz val="10"/>
        <rFont val="Arial CE"/>
        <family val="2"/>
        <charset val="238"/>
      </rPr>
      <t xml:space="preserve"> "RP-02" </t>
    </r>
    <r>
      <rPr>
        <sz val="10"/>
        <rFont val="Arial CE"/>
        <family val="2"/>
        <charset val="238"/>
      </rPr>
      <t>SVEUKUPNO</t>
    </r>
  </si>
  <si>
    <r>
      <t xml:space="preserve">Dobava i ugradnja razdjelne ploče RP-03, </t>
    </r>
    <r>
      <rPr>
        <sz val="10"/>
        <rFont val="Arial CE"/>
        <family val="2"/>
        <charset val="238"/>
      </rPr>
      <t>ugradne, izrađene od plastike. Ploča je troredna (12x3 modula,) s bijelim vratima. U ploču montirati slijedeće elemente,  iz asortimana tvrtke Legrand, Schneider, ili sl:</t>
    </r>
  </si>
  <si>
    <r>
      <t>PLOČA</t>
    </r>
    <r>
      <rPr>
        <b/>
        <sz val="10"/>
        <rFont val="Arial CE"/>
        <family val="2"/>
        <charset val="238"/>
      </rPr>
      <t xml:space="preserve"> "RP-03" </t>
    </r>
    <r>
      <rPr>
        <sz val="10"/>
        <rFont val="Arial CE"/>
        <family val="2"/>
        <charset val="238"/>
      </rPr>
      <t>SVEUKUPNO</t>
    </r>
  </si>
  <si>
    <r>
      <t xml:space="preserve">Dobava i ugradnja glavnog razvodnog  ormara  RP-STROJ izrađenog od metala. </t>
    </r>
    <r>
      <rPr>
        <sz val="10"/>
        <rFont val="Arial CE"/>
        <family val="2"/>
        <charset val="238"/>
      </rPr>
      <t xml:space="preserve"> Ormar dimenzija 24x5 modula, min. Dubine 12cm. Ormar se montira nadžbukno.
U ploču montirati slijedeće elemente,  iz asortimana tvrtke Legrand, Schneider ili sl.:</t>
    </r>
  </si>
  <si>
    <t xml:space="preserve">Glavni prekidač snage, tropolni, Un=400 V, 50 Hz, nazivne struje 125A, Ir=80A, sa regulacijom termičke zaštite, nazivne granične prekidne moći 15kA, komplet sa relejem za daljinski isklop 230V 
</t>
  </si>
  <si>
    <t xml:space="preserve">Instalacijski prekidač tropolni 32A, 6kA "C" karakt. </t>
  </si>
  <si>
    <t xml:space="preserve">Instalacijski prekidač tropolni 16A, 6kA "C" karakt. </t>
  </si>
  <si>
    <t xml:space="preserve">Instalacijski prekidač jednopolni 16A, 6kA "C" karakt. </t>
  </si>
  <si>
    <t xml:space="preserve">Instalacijski prekidač jednopolni 10A, 6kA "C" karakt. </t>
  </si>
  <si>
    <r>
      <t xml:space="preserve">PLOČA  </t>
    </r>
    <r>
      <rPr>
        <b/>
        <sz val="10"/>
        <rFont val="Arial CE"/>
        <family val="2"/>
        <charset val="238"/>
      </rPr>
      <t xml:space="preserve">"RP-STROJ"  </t>
    </r>
    <r>
      <rPr>
        <sz val="10"/>
        <rFont val="Arial CE"/>
        <family val="2"/>
        <charset val="238"/>
      </rPr>
      <t xml:space="preserve"> SVEUKUPNO</t>
    </r>
  </si>
  <si>
    <r>
      <t xml:space="preserve">Dobava i ugradnja razdjelne ploče "RP-PPZ" </t>
    </r>
    <r>
      <rPr>
        <sz val="10"/>
        <rFont val="Arial CE"/>
        <family val="2"/>
        <charset val="238"/>
      </rPr>
      <t xml:space="preserve"> nadgradne, izrađene od plastike ili metala. Ploča je šetoredna (18x4 modula,). U ploču montirati slijedeće elemente, kao iz asortimana tvrtke Legrand/ Schneider ili sl. :</t>
    </r>
  </si>
  <si>
    <t>Glavni prekidač, 20A/3P, 10kA</t>
  </si>
  <si>
    <t xml:space="preserve">Kombinacija prekidač/strujna zaštitna sklopka 40/0,3A/4P </t>
  </si>
  <si>
    <t xml:space="preserve">Instalacijski sklopnik 20A/1P, upravljački napon 24V </t>
  </si>
  <si>
    <t>Izborna preklopka dvopoložajna 0-1, 230V/16A, 1P ugradnja na DIN shinu</t>
  </si>
  <si>
    <t>Kontrolni uređaj (LED indikator) veličine 1 modula,  2-polni - 110/400V, opremljen sa crvenom i zelenom LED lampicom, kao tip LEGRAND  cod. 4 129 31</t>
  </si>
  <si>
    <t>Cu sabirnice 100A tropolne</t>
  </si>
  <si>
    <r>
      <t xml:space="preserve">  RAZVODNA PLOČA  </t>
    </r>
    <r>
      <rPr>
        <b/>
        <sz val="10"/>
        <rFont val="Arial CE"/>
        <family val="2"/>
        <charset val="238"/>
      </rPr>
      <t xml:space="preserve">"RP-PPZ"  </t>
    </r>
    <r>
      <rPr>
        <sz val="10"/>
        <rFont val="Arial CE"/>
        <family val="2"/>
        <charset val="238"/>
      </rPr>
      <t xml:space="preserve"> SVEUKUPNO</t>
    </r>
  </si>
  <si>
    <t>B)</t>
  </si>
  <si>
    <t>ELEKTRIČNA INSTALACIJA SNAGE</t>
  </si>
  <si>
    <r>
      <t xml:space="preserve">Dobava i polaganje energetske cijevi </t>
    </r>
    <r>
      <rPr>
        <sz val="10"/>
        <rFont val="Symbol"/>
        <family val="1"/>
        <charset val="2"/>
      </rPr>
      <t>F</t>
    </r>
    <r>
      <rPr>
        <sz val="10"/>
        <rFont val="Arial"/>
        <family val="2"/>
        <charset val="238"/>
      </rPr>
      <t>110mm za provlačenje opskrbnih kabela  između zdenaca, u prethodno pripremljen kabelski rov sa posteljicom, te zaštitom koridora kabela jake struje.</t>
    </r>
  </si>
  <si>
    <t>Dobava i ugradnja tipskih betonskog zdenca sa poklopcem nosivosti 400kN u prethodno iskopanu jamu, dimenzija:</t>
  </si>
  <si>
    <t>D 0 (63x63x101cm)</t>
  </si>
  <si>
    <t>Izrada brtvljenja dovodnih energetskih cijevi, na izlazu kroz hidroizolaciju, a kod ulaza u objekt. U cijenu uračunati i dostavu brtvila</t>
  </si>
  <si>
    <t xml:space="preserve">Dobava i ugradnja metalne kabelske trase tipa kao "Vangeel Systems", "OBO", "CABLOFIL" ili sl: </t>
  </si>
  <si>
    <t>kabelska polica širine 200mm, visine 60mm, komplet sa nosačima (nosivim konzolama), spojnim elemetima i poklopcem</t>
  </si>
  <si>
    <t>kabelska polica širine 70mm, visine 60mm, komplet sa nosačima (nosivim konzolama), spojnim elemetima i poklopcem</t>
  </si>
  <si>
    <t>Dobava i polaganje PNT cijevi nadžbukno, komplet sa spojnim elementima i odstojnim OG obujmicama:</t>
  </si>
  <si>
    <r>
      <t>F</t>
    </r>
    <r>
      <rPr>
        <sz val="10"/>
        <rFont val="Arial"/>
        <family val="2"/>
      </rPr>
      <t xml:space="preserve"> 25mm</t>
    </r>
  </si>
  <si>
    <r>
      <t>F</t>
    </r>
    <r>
      <rPr>
        <sz val="10"/>
        <rFont val="Arial"/>
        <family val="2"/>
      </rPr>
      <t xml:space="preserve"> 32mm</t>
    </r>
  </si>
  <si>
    <t>Dobava i polaganje PVC cijevi u beton i u gips kartonske zidove. Cijevi položiti prije betoniranja u zidove i estrih:</t>
  </si>
  <si>
    <r>
      <t>F</t>
    </r>
    <r>
      <rPr>
        <sz val="10"/>
        <rFont val="Arial"/>
        <family val="2"/>
      </rPr>
      <t xml:space="preserve"> 75mm</t>
    </r>
  </si>
  <si>
    <r>
      <t>F</t>
    </r>
    <r>
      <rPr>
        <sz val="10"/>
        <rFont val="Arial"/>
        <family val="2"/>
      </rPr>
      <t xml:space="preserve"> 50mm</t>
    </r>
  </si>
  <si>
    <r>
      <t>F</t>
    </r>
    <r>
      <rPr>
        <sz val="10"/>
        <rFont val="Arial"/>
        <family val="2"/>
      </rPr>
      <t xml:space="preserve"> 20mm</t>
    </r>
  </si>
  <si>
    <t>Dobava i polaganje kabela  na keblske police i u PNT i  PVC cijevi</t>
  </si>
  <si>
    <r>
      <t>4x P 70mm</t>
    </r>
    <r>
      <rPr>
        <vertAlign val="superscript"/>
        <sz val="10"/>
        <rFont val="Arial CE"/>
        <family val="2"/>
        <charset val="238"/>
      </rPr>
      <t xml:space="preserve">2 </t>
    </r>
  </si>
  <si>
    <r>
      <t>1x P/M 50mm</t>
    </r>
    <r>
      <rPr>
        <vertAlign val="superscript"/>
        <sz val="10"/>
        <rFont val="Arial CE"/>
        <family val="2"/>
        <charset val="238"/>
      </rPr>
      <t>2</t>
    </r>
    <r>
      <rPr>
        <b/>
        <sz val="10"/>
        <rFont val="Arial"/>
        <family val="2"/>
        <charset val="238"/>
      </rPr>
      <t/>
    </r>
  </si>
  <si>
    <r>
      <t>NYM-J 5x25mm</t>
    </r>
    <r>
      <rPr>
        <vertAlign val="superscript"/>
        <sz val="10"/>
        <rFont val="Arial CE"/>
        <family val="2"/>
        <charset val="238"/>
      </rPr>
      <t>2</t>
    </r>
    <r>
      <rPr>
        <b/>
        <sz val="10"/>
        <rFont val="Arial"/>
        <family val="2"/>
        <charset val="238"/>
      </rPr>
      <t/>
    </r>
  </si>
  <si>
    <r>
      <t>NYM-J 5x16mm</t>
    </r>
    <r>
      <rPr>
        <vertAlign val="superscript"/>
        <sz val="10"/>
        <rFont val="Arial CE"/>
        <family val="2"/>
        <charset val="238"/>
      </rPr>
      <t>2</t>
    </r>
    <r>
      <rPr>
        <b/>
        <sz val="10"/>
        <rFont val="Arial"/>
        <family val="2"/>
        <charset val="238"/>
      </rPr>
      <t/>
    </r>
  </si>
  <si>
    <r>
      <t>NYY-J 5x10mm</t>
    </r>
    <r>
      <rPr>
        <vertAlign val="superscript"/>
        <sz val="10"/>
        <rFont val="Arial CE"/>
        <family val="2"/>
        <charset val="238"/>
      </rPr>
      <t xml:space="preserve">2 </t>
    </r>
  </si>
  <si>
    <r>
      <t>NYM-J 5x6mm</t>
    </r>
    <r>
      <rPr>
        <vertAlign val="superscript"/>
        <sz val="10"/>
        <rFont val="Arial CE"/>
        <family val="2"/>
        <charset val="238"/>
      </rPr>
      <t>2</t>
    </r>
    <r>
      <rPr>
        <b/>
        <sz val="10"/>
        <rFont val="Arial"/>
        <family val="2"/>
        <charset val="238"/>
      </rPr>
      <t/>
    </r>
  </si>
  <si>
    <r>
      <t>NYM-J 5x2,5mm</t>
    </r>
    <r>
      <rPr>
        <vertAlign val="superscript"/>
        <sz val="10"/>
        <rFont val="Arial CE"/>
        <family val="2"/>
        <charset val="238"/>
      </rPr>
      <t>2</t>
    </r>
    <r>
      <rPr>
        <b/>
        <sz val="10"/>
        <rFont val="Arial"/>
        <family val="2"/>
        <charset val="238"/>
      </rPr>
      <t/>
    </r>
  </si>
  <si>
    <r>
      <t>NYM-J 3x2.5mm</t>
    </r>
    <r>
      <rPr>
        <vertAlign val="superscript"/>
        <sz val="10"/>
        <rFont val="Arial CE"/>
        <family val="2"/>
        <charset val="238"/>
      </rPr>
      <t>2</t>
    </r>
    <r>
      <rPr>
        <b/>
        <sz val="10"/>
        <rFont val="Arial"/>
        <family val="2"/>
        <charset val="238"/>
      </rPr>
      <t/>
    </r>
  </si>
  <si>
    <r>
      <t>NYM-J 3x1.5mm</t>
    </r>
    <r>
      <rPr>
        <vertAlign val="superscript"/>
        <sz val="10"/>
        <rFont val="Arial CE"/>
        <family val="2"/>
        <charset val="238"/>
      </rPr>
      <t>2</t>
    </r>
    <r>
      <rPr>
        <b/>
        <sz val="10"/>
        <rFont val="Arial"/>
        <family val="2"/>
        <charset val="238"/>
      </rPr>
      <t/>
    </r>
  </si>
  <si>
    <r>
      <t>P 2,5 mm</t>
    </r>
    <r>
      <rPr>
        <vertAlign val="superscript"/>
        <sz val="10"/>
        <rFont val="Arial CE"/>
        <family val="2"/>
        <charset val="238"/>
      </rPr>
      <t xml:space="preserve">2 </t>
    </r>
  </si>
  <si>
    <r>
      <t>P 1,5 mm</t>
    </r>
    <r>
      <rPr>
        <vertAlign val="superscript"/>
        <sz val="10"/>
        <rFont val="Arial CE"/>
        <family val="2"/>
        <charset val="238"/>
      </rPr>
      <t xml:space="preserve">2 </t>
    </r>
  </si>
  <si>
    <r>
      <t>NHXH 5x4mm</t>
    </r>
    <r>
      <rPr>
        <vertAlign val="superscript"/>
        <sz val="10"/>
        <rFont val="Arial CE"/>
        <family val="2"/>
        <charset val="238"/>
      </rPr>
      <t>2</t>
    </r>
    <r>
      <rPr>
        <b/>
        <sz val="10"/>
        <rFont val="Arial"/>
        <family val="2"/>
        <charset val="238"/>
      </rPr>
      <t/>
    </r>
  </si>
  <si>
    <r>
      <t>NHXH 3x1,5mm</t>
    </r>
    <r>
      <rPr>
        <vertAlign val="superscript"/>
        <sz val="10"/>
        <rFont val="Arial CE"/>
        <family val="2"/>
        <charset val="238"/>
      </rPr>
      <t>2</t>
    </r>
    <r>
      <rPr>
        <b/>
        <sz val="10"/>
        <rFont val="Arial"/>
        <family val="2"/>
        <charset val="238"/>
      </rPr>
      <t/>
    </r>
  </si>
  <si>
    <r>
      <t>5x  P/F 1mm</t>
    </r>
    <r>
      <rPr>
        <vertAlign val="superscript"/>
        <sz val="10"/>
        <rFont val="Arial CE"/>
        <family val="2"/>
        <charset val="238"/>
      </rPr>
      <t>2</t>
    </r>
    <r>
      <rPr>
        <b/>
        <sz val="10"/>
        <rFont val="Arial"/>
        <family val="2"/>
        <charset val="238"/>
      </rPr>
      <t/>
    </r>
  </si>
  <si>
    <t>Dobava i polaganje kabela p/ž sa štemenjem šliceva:</t>
  </si>
  <si>
    <r>
      <t>NYM-J 3x2,5mm</t>
    </r>
    <r>
      <rPr>
        <vertAlign val="superscript"/>
        <sz val="10"/>
        <rFont val="Arial CE"/>
        <family val="2"/>
        <charset val="238"/>
      </rPr>
      <t>2</t>
    </r>
  </si>
  <si>
    <t>Dobava, ugradnja i spajanje priključnica p/ž, modularni tip:</t>
  </si>
  <si>
    <t>priključnica sa zaštitnim kontaktom (širina 2 modula)</t>
  </si>
  <si>
    <t>PVC kutija (2 modula)</t>
  </si>
  <si>
    <t>nosivi okvir (2 modula)</t>
  </si>
  <si>
    <t>pokrovna ploča (2 modula)</t>
  </si>
  <si>
    <t>PVC kutija  (4 modula)</t>
  </si>
  <si>
    <t>nosivi okvir  (4 modula)</t>
  </si>
  <si>
    <t>pokrovna ploča cod. (4 modula)</t>
  </si>
  <si>
    <t>Dobava, ugradnja i spajanje priključnica sa poklopcem p/ž, modularni tip (IP44):</t>
  </si>
  <si>
    <t>priključnica sa zaštitnim kontaktom i poklopcem
 (širina 2 modula)</t>
  </si>
  <si>
    <t>nosivi okvir  (2 modula)</t>
  </si>
  <si>
    <t>Dobava, ugradnja i spajanje podne kutije veličine 18 modula, komplet sa poklopcem za parket ili sl. pod. Priključnice slabe struje navedene u troškovniku slabe struje:</t>
  </si>
  <si>
    <t>dvostruka priključnica sa zaštitnim kontaktom (širine 4 modula)</t>
  </si>
  <si>
    <t>pokrovna ploča (4 modula)</t>
  </si>
  <si>
    <t>podna kutija</t>
  </si>
  <si>
    <t>Dobava, ugradnja i spajanje kutije za stalni priključak p/ž, 5 polne, komplet sa PVC kutijom</t>
  </si>
  <si>
    <r>
      <t xml:space="preserve">Dobava i ugradnja PVC razvodnih kutija p/ž </t>
    </r>
    <r>
      <rPr>
        <sz val="10"/>
        <rFont val="Symbol"/>
        <family val="1"/>
        <charset val="2"/>
      </rPr>
      <t xml:space="preserve">F </t>
    </r>
    <r>
      <rPr>
        <sz val="10"/>
        <rFont val="Arial CE"/>
        <family val="2"/>
        <charset val="238"/>
      </rPr>
      <t>80mm</t>
    </r>
  </si>
  <si>
    <t>Spajanje pećnice i nape (samo napojni dio)</t>
  </si>
  <si>
    <t>Spajanje vanjskih klima jedinica (samo napojni dio)</t>
  </si>
  <si>
    <t>Spajanje el. Motora vrata za dvoranu</t>
  </si>
  <si>
    <t>Spajanje rekuperatora (samo napojni dio)</t>
  </si>
  <si>
    <t>Spajanje kazetnih klima jedinica (samo napojni dio)</t>
  </si>
  <si>
    <t>Spajanje kanalnih grijača (samo napojni dio)</t>
  </si>
  <si>
    <t>Spajanje tlačnih ventilatora (samo napojni dio)</t>
  </si>
  <si>
    <t>21.</t>
  </si>
  <si>
    <t>Spajanje protupožarnih zaklopki (napojni i signalni dio)</t>
  </si>
  <si>
    <t>22.</t>
  </si>
  <si>
    <t>Spajanje daljinskih zidnih upraljača za klima jedinice</t>
  </si>
  <si>
    <t>23.</t>
  </si>
  <si>
    <t>Spajanje termostata podnog grijanja</t>
  </si>
  <si>
    <t>24.</t>
  </si>
  <si>
    <t>Dobava, ugradnja i spajanje tipkala za isključenje u slučaju nužde RJP. Tipkalo n/ž, staviti naljepnice "ISKLJUČENJE U SLUČAJU NUŽDE"</t>
  </si>
  <si>
    <t>25.</t>
  </si>
  <si>
    <t>Brtvljenje kabela na mjestima proboja protupožarnih zidova između dvije protupožarne zone. Brtvljenje izvesti pjenom vatrootpronosti F90. U cijenu uračunati i pločicu sa oznakom proboja</t>
  </si>
  <si>
    <t>26.</t>
  </si>
  <si>
    <t xml:space="preserve">Izrada uzemljenja metalnih polica </t>
  </si>
  <si>
    <t>27.</t>
  </si>
  <si>
    <t>Izrada uzemljenja opreme u strojarnici</t>
  </si>
  <si>
    <t>28.</t>
  </si>
  <si>
    <t>Izrada uzemljenja opreme u kuhinji</t>
  </si>
  <si>
    <t>29.</t>
  </si>
  <si>
    <t>Sitni nespecificirani materijal, izolir traka, stopice, vijci i sl.</t>
  </si>
  <si>
    <t>C)</t>
  </si>
  <si>
    <t xml:space="preserve">ELEKTRIČNA INSTALACIJA  RASVJETE  </t>
  </si>
  <si>
    <t>Strojno kopanje kanala dubine 70cm i širine 40cm, sa kopanjem u zemlji IV i V kategorije te sa zatrpavanjem i odvozom viška materijala na deponij. Uračunati i cijenu posteljice i trake za upozorenje. U kanal polagati kabele za opskrbu vanjske rasvjete.</t>
  </si>
  <si>
    <t>Dobava i polaganje PVC cijevi za napajanje vanjske  rasvjete u predhodno iskopani kanal.</t>
  </si>
  <si>
    <r>
      <rPr>
        <sz val="10"/>
        <rFont val="Symbol"/>
        <family val="1"/>
        <charset val="2"/>
      </rPr>
      <t>F 50</t>
    </r>
    <r>
      <rPr>
        <sz val="10"/>
        <rFont val="Arial"/>
        <family val="2"/>
        <charset val="238"/>
      </rPr>
      <t>mm</t>
    </r>
  </si>
  <si>
    <t>Iskop jame za temelje stupova javne rasvjete, bez obzira na kategoriju tla, dimenzija 85x70x70 cm (dubina jame x dužina jame x širina jame) sa odvozom materijala na odlagalište.</t>
  </si>
  <si>
    <t>Ugradnja nosivih temeljnih (anker) vijaka u temelje stupova (isporučuju se u kompletu sa stupom, 4 kom po stupu).</t>
  </si>
  <si>
    <t>Dobava, ugradnja i spajanje stupova javne rasvjete visine 4,1m tip kao DISANO Fluted pole F 120mm. Komplet sa anker vijcima.</t>
  </si>
  <si>
    <t>Dobava, ugradnja i spajanje razdjelnica u stupovima tip "EKM 2035-1D2" TYCO ili sličnu, komplet sa rastalnim uloškom od 6A, dosjednim vijkom i kapom osigurača.</t>
  </si>
  <si>
    <t xml:space="preserve">Dobava, ugradnja i spajanje svjetiljke na rasvjetnim stupovima, svjetiljka tipa kao DISANO VISTA LED 52W. </t>
  </si>
  <si>
    <t>Dobava i polaganje kabela za vanjsku rasvjetu u PVC cijevi:</t>
  </si>
  <si>
    <r>
      <t>NYY 4x10mm</t>
    </r>
    <r>
      <rPr>
        <vertAlign val="superscript"/>
        <sz val="10"/>
        <rFont val="Arial CE"/>
        <family val="2"/>
        <charset val="238"/>
      </rPr>
      <t>2</t>
    </r>
  </si>
  <si>
    <r>
      <t>Dobava i polaganje u zemljani kanal užeta za uzemljenje rasvjetnih stupova Cu 25mm</t>
    </r>
    <r>
      <rPr>
        <sz val="10"/>
        <rFont val="Calibri"/>
        <family val="2"/>
        <charset val="238"/>
      </rPr>
      <t>²</t>
    </r>
  </si>
  <si>
    <t>Dobava i polaganje PVC cijevi u beton i ciglu sa štemanjem šliceva:</t>
  </si>
  <si>
    <r>
      <t xml:space="preserve">PVC </t>
    </r>
    <r>
      <rPr>
        <sz val="10"/>
        <rFont val="Symbol"/>
        <family val="1"/>
        <charset val="2"/>
      </rPr>
      <t>F 25</t>
    </r>
    <r>
      <rPr>
        <sz val="10"/>
        <rFont val="Arial"/>
        <family val="2"/>
        <charset val="238"/>
      </rPr>
      <t>mm</t>
    </r>
  </si>
  <si>
    <t>Dobava i polaganje kabela u PVC cijevi:</t>
  </si>
  <si>
    <r>
      <t>P 1,5mm</t>
    </r>
    <r>
      <rPr>
        <vertAlign val="superscript"/>
        <sz val="10"/>
        <rFont val="Arial CE"/>
        <family val="2"/>
        <charset val="238"/>
      </rPr>
      <t>2</t>
    </r>
    <r>
      <rPr>
        <b/>
        <sz val="10"/>
        <rFont val="Arial"/>
        <family val="2"/>
        <charset val="238"/>
      </rPr>
      <t/>
    </r>
  </si>
  <si>
    <t>Dobava i polaganje PVC cijevi kroz gips kartonske zidove i stropove:</t>
  </si>
  <si>
    <t>Dobava i polaganje kabela u PVC/PNT cijevi i na kabelske police:</t>
  </si>
  <si>
    <r>
      <t>P 1,5mm</t>
    </r>
    <r>
      <rPr>
        <vertAlign val="superscript"/>
        <sz val="10"/>
        <rFont val="Arial CE"/>
        <family val="2"/>
        <charset val="238"/>
      </rPr>
      <t xml:space="preserve">2 </t>
    </r>
  </si>
  <si>
    <r>
      <t>NYM 3x1,5mm</t>
    </r>
    <r>
      <rPr>
        <vertAlign val="superscript"/>
        <sz val="10"/>
        <rFont val="Arial CE"/>
        <family val="2"/>
        <charset val="238"/>
      </rPr>
      <t xml:space="preserve">2 </t>
    </r>
  </si>
  <si>
    <t>Dobava, ugradnja i spajanje sklopki p/ž modularni tip:</t>
  </si>
  <si>
    <t>isklopna sklopka (širina 2 modul)</t>
  </si>
  <si>
    <t>isklopna sklopka (širina 1 modul)</t>
  </si>
  <si>
    <t>izmjenična sklopka (širina 2 modul)</t>
  </si>
  <si>
    <t>izmjenična sklopka (širina 1 modul)</t>
  </si>
  <si>
    <t>križna sklopka (širina 2 modul)</t>
  </si>
  <si>
    <t>tipkalo (širina 2 modula)</t>
  </si>
  <si>
    <t>slijepi modul</t>
  </si>
  <si>
    <t>PVC kutija (3 modula)</t>
  </si>
  <si>
    <t>nosivi okvir (3 modula)</t>
  </si>
  <si>
    <t>pokrovna ploča (3 modula)</t>
  </si>
  <si>
    <t>PVC kutija (6 modula)</t>
  </si>
  <si>
    <t>nosivi okvir (6 modula)</t>
  </si>
  <si>
    <t>pokrovna ploča (6 modula)</t>
  </si>
  <si>
    <t>PVC kutija (8 modula, 4+4)</t>
  </si>
  <si>
    <t>nosivi okvir (8 modula, 4+4)</t>
  </si>
  <si>
    <t>pokrovna ploča (8 modula, 4+4)</t>
  </si>
  <si>
    <r>
      <t>Dobava, ugradnja i spajanje stropnog senzora poketa, 360</t>
    </r>
    <r>
      <rPr>
        <sz val="10"/>
        <rFont val="Calibri"/>
        <family val="2"/>
        <charset val="238"/>
      </rPr>
      <t>°</t>
    </r>
    <r>
      <rPr>
        <sz val="10"/>
        <rFont val="Arial CE"/>
        <family val="2"/>
        <charset val="238"/>
      </rPr>
      <t>, ugradnja u sanitarnim čvorovima, garderobama i ulaznom hallu.</t>
    </r>
  </si>
  <si>
    <r>
      <t>Dobava, ugradnja i spajanje nadžbuknog zidnog senzora poketa na 2.5m za ventilaciju i rasvjetu u sanitarnim čvorovima, 180</t>
    </r>
    <r>
      <rPr>
        <sz val="10"/>
        <rFont val="Calibri"/>
        <family val="2"/>
        <charset val="238"/>
      </rPr>
      <t>°.</t>
    </r>
  </si>
  <si>
    <t>Dobava, ugradnja i spajanje ventilatora sa odgodom isključenja unutar sanitarnih čvorova.</t>
  </si>
  <si>
    <t>Ugradnja fotoćelije na pročelje/krov građevine.</t>
  </si>
  <si>
    <t>SVJETILJKE</t>
  </si>
  <si>
    <t xml:space="preserve">Dobava, ugradnja i spajanje svjetiljki, glavni ulazi i balkoni građevine (stropne i zidne svjetiljke IPX4). </t>
  </si>
  <si>
    <t xml:space="preserve">Dobava, ugradnja i spajanje LED lampe, duljine 1255mm, s LED cijevima 1x18W. </t>
  </si>
  <si>
    <t xml:space="preserve">Dobava, ugradnja i spajanje LED lampe, u IP55 zaštiti, duljine 1255mm, s LED cijevima 1x18W. </t>
  </si>
  <si>
    <t>Dobava, ugradnja i spajanje plafonjera u hodnicima, ulazima i sanitarnim čvorovima građevine, komplet sa izvorom svjetlosti E27 12W.</t>
  </si>
  <si>
    <t>Dobava, ugradnja i spajanje u spušteni strop ugradbenog LED panela 2x33W/2x4093 lm, komplet sa svim potrebnim priborom za ugradnju.</t>
  </si>
  <si>
    <t>Dobava, ugradnja i spajanje LED panela na ovjesu 33W/4100 lm, komplet sa ovjesnim priborom</t>
  </si>
  <si>
    <t>Dobava, ugradnja i spajanje nadgradne LED svjetiljke sa usmjerenim snopom svjetlosti ("top" ili mini reflektor), 230V, 15-25W.</t>
  </si>
  <si>
    <t>Dobava, ugradnja i spajanje protupaničnih svjetiljki u trajnom/pripravnom spoju 100lm/3h, sa piktoramom, nadžbukna.</t>
  </si>
  <si>
    <t>Dobava, ugradnja i spajanje svjetlosnog i zvučnog SOS indikatora. Ugradnja iznad ulaznih vrata u sanitarni čvor za invalide.</t>
  </si>
  <si>
    <t>Dobava, ugradnja i spajanje SOS tipkala u sanitarnom čvoru za invalide.</t>
  </si>
  <si>
    <t>30.</t>
  </si>
  <si>
    <t>Ispitivanje i puštanje u rad električne instalacije snage i rasvjete, te izdavanje certifikata za tehnički pregled</t>
  </si>
  <si>
    <t xml:space="preserve">ELEKTRIČNA INSTALACIJA RASVJETE </t>
  </si>
  <si>
    <t>D)</t>
  </si>
  <si>
    <t xml:space="preserve">INSTALACIJA TELEFONA </t>
  </si>
  <si>
    <t>Dobava i polaganje PEHD cijevi za provlačenje DTK (EKI ) kabela, u prethodno pripremljen kabelski rov sa posteljicom</t>
  </si>
  <si>
    <t>Dobava i ugradnja zdenca (šahta) dimenzije 60x60x80cm. Ugradnja u zemlju (beton) ispred objekta.</t>
  </si>
  <si>
    <t>Dobava i polaganje PVC cijevi prije betoniranja:</t>
  </si>
  <si>
    <r>
      <t xml:space="preserve">PVC </t>
    </r>
    <r>
      <rPr>
        <sz val="10"/>
        <rFont val="Symbol"/>
        <family val="1"/>
        <charset val="2"/>
      </rPr>
      <t>F</t>
    </r>
    <r>
      <rPr>
        <sz val="10"/>
        <rFont val="Arial CE"/>
        <family val="2"/>
        <charset val="238"/>
      </rPr>
      <t xml:space="preserve"> 25mm</t>
    </r>
  </si>
  <si>
    <t>Dobava i polaganje kabela u PVC tičino cijevi
Kabeli:</t>
  </si>
  <si>
    <t>U/FTP CAT. 6</t>
  </si>
  <si>
    <t>kabel HDMI</t>
  </si>
  <si>
    <t>kabel VGA</t>
  </si>
  <si>
    <t>FIBER OPTIK</t>
  </si>
  <si>
    <t>Dobava, ugradnja i spajanje  priključnica RJ45:</t>
  </si>
  <si>
    <t>priključnica RJ45 (širina 1 modul)</t>
  </si>
  <si>
    <t>Napomena: dio RJ45 priključnica smješten je u podne kutije definirane u poglavlju instalacija snage.</t>
  </si>
  <si>
    <t>PVC kutija (4 modula)</t>
  </si>
  <si>
    <t>nosivi okvir (4 modula)</t>
  </si>
  <si>
    <t>Dobava, ugradnja i spajanje  priključnica HDMI:</t>
  </si>
  <si>
    <t>priključnica HDMI (širina 1 modul)</t>
  </si>
  <si>
    <t>Dobava, ugradnja i spajanje  priključnica VGA:</t>
  </si>
  <si>
    <t>priključnica VGA (širina 1 modul)</t>
  </si>
  <si>
    <t>Dobava, ugradnja i montaža dozidnog 19"  komunikacijskog ormara, 21U, 1022x600x400, sa ventilatorom za hlađenje.</t>
  </si>
  <si>
    <t xml:space="preserve">Uređaj za besprekidno napajanje (za napajanje komunikacijskog ormara) UPS 650VA </t>
  </si>
  <si>
    <t>Dobava, ugradnja i spajanje prespojnih panela (patch panel) sa 24 ulaza.</t>
  </si>
  <si>
    <t>Dobava, ugradnja i spajanje čvorišta "switcha" sa 48 RJ45 + 1xFIBER priključaka za računalnu mrežu.</t>
  </si>
  <si>
    <t>Dobava i ugradnja 19'' napojne letve 7-struke s prenaponskom zaštitom.</t>
  </si>
  <si>
    <t>Sitni nespecificirani materijal, stopice, vijci i sl.</t>
  </si>
  <si>
    <t>Ispitivanje i puštanje u rad telefonske instalacija sa izradom certifikata</t>
  </si>
  <si>
    <t xml:space="preserve">INSTALACIJA TELEONA </t>
  </si>
  <si>
    <t>E)</t>
  </si>
  <si>
    <t>INSTALACIJA TELEVIZIJE</t>
  </si>
  <si>
    <t>Dobava i uvlačenje u PVC tičino cijev koaksijalnog kabela KOKA F6 TSV:</t>
  </si>
  <si>
    <r>
      <t xml:space="preserve"> PVC tičino cijev </t>
    </r>
    <r>
      <rPr>
        <sz val="10"/>
        <rFont val="Symbol"/>
        <family val="1"/>
        <charset val="2"/>
      </rPr>
      <t>F</t>
    </r>
    <r>
      <rPr>
        <sz val="10"/>
        <rFont val="Arial"/>
        <family val="2"/>
        <charset val="238"/>
      </rPr>
      <t xml:space="preserve"> 32</t>
    </r>
    <r>
      <rPr>
        <sz val="10"/>
        <rFont val="Arial CE"/>
        <family val="2"/>
        <charset val="238"/>
      </rPr>
      <t>mm</t>
    </r>
  </si>
  <si>
    <r>
      <t xml:space="preserve"> PVC tičino cijev </t>
    </r>
    <r>
      <rPr>
        <sz val="10"/>
        <rFont val="Symbol"/>
        <family val="1"/>
        <charset val="2"/>
      </rPr>
      <t xml:space="preserve">F </t>
    </r>
    <r>
      <rPr>
        <sz val="10"/>
        <rFont val="Arial"/>
        <family val="2"/>
        <charset val="238"/>
      </rPr>
      <t>20mm</t>
    </r>
  </si>
  <si>
    <t>Dobava i ugradnja na krov antenskog stupa od INOX cijevi 2" dužine 4m komplet sa :</t>
  </si>
  <si>
    <t>logaritamskom antenom LP45 (univerzalna)</t>
  </si>
  <si>
    <t>SAT antenom AL 105 (105cm)</t>
  </si>
  <si>
    <t>LNB quatro 0,6dB</t>
  </si>
  <si>
    <r>
      <t>potencijalno izjednačenje antena i TV ormara sa P/F-10mm</t>
    </r>
    <r>
      <rPr>
        <vertAlign val="superscript"/>
        <sz val="10"/>
        <rFont val="Arial CE"/>
        <family val="2"/>
        <charset val="238"/>
      </rPr>
      <t>2</t>
    </r>
  </si>
  <si>
    <t>Dobava, ugradnja i spajanje TV/SAT priključnica p/ž:</t>
  </si>
  <si>
    <t>priključnica SAT TV (širina 2 modula)</t>
  </si>
  <si>
    <t>Dobava, montaža i spajanje multiswitcha  za 8 korisnika ili po izboru investitora.</t>
  </si>
  <si>
    <t xml:space="preserve">Ispitivanje i puštanje u rad televizijske instalacije te izdavanje atesta za tehnički pregled </t>
  </si>
  <si>
    <t>F)</t>
  </si>
  <si>
    <t xml:space="preserve">  INSTALACIJA ZAŠTITE OD MUNJE</t>
  </si>
  <si>
    <t>Dobava i ugradnja trake Fe/Zn 25x4mm u temelje.</t>
  </si>
  <si>
    <t>Dobava i ugradnja križnih spojnica trake u temelje. Spojnice premazati bitumenom.</t>
  </si>
  <si>
    <t>Dobava i ugradnja trake Fe/Zn 25x4mm podžbukno od uzemljivača do mjernog spoja.</t>
  </si>
  <si>
    <t>Dobava i ugradnja trake Fe/Zn 20x3mm za gromobransku instalaciju p/ž od mjernog spoja do krova.</t>
  </si>
  <si>
    <t>Silikoniziranje izlaza trake iz fasade.</t>
  </si>
  <si>
    <t>Spajanje gromobranske trake sa limenim opšavom, olukom i ostalim metalnim djelovima.</t>
  </si>
  <si>
    <t>Dobava i montaža križnih spojnica na krovu.</t>
  </si>
  <si>
    <t>Dobava i montaža na nosače Fe/Zn 20x3mm trake na krovu objekta.</t>
  </si>
  <si>
    <t>Dobava i ugradnja nosača  na ravnom krovu objekta za  traku Fe/Zn 20x3mm.</t>
  </si>
  <si>
    <t>Izrada mjernog spoja sa dobavom i montažom u beton</t>
  </si>
  <si>
    <t xml:space="preserve"> - INOX kutije 150x100 mm sa poklopcem</t>
  </si>
  <si>
    <t xml:space="preserve"> - križne INOX spojnice</t>
  </si>
  <si>
    <t>Spajanje KPMO-a na temeljni uzemljivač trakom Fe/Zn 25x4mm.</t>
  </si>
  <si>
    <t>Spajanje GRO-a na temeljni uzemljivač trakom Fe/Zn 25x4mm.</t>
  </si>
  <si>
    <t>Dobava i ugradnja zaštite antenskog stupa - antene upotrebom izoliranog ostojnika i štapne hvataljke   izrađene od trake Fe/Zn 20x3 te vezane na   instalaciju LPS-a.</t>
  </si>
  <si>
    <t>Dobava i montaža šiljaka visine 2m pored vanjskih klima jedinica.</t>
  </si>
  <si>
    <t>ISPITIVANJE GROMOBRANSKE INSTALACIJE I IZDAVANJE ATESTA</t>
  </si>
  <si>
    <t>DOBAVA KNJIGE EVIDENCIJE ISPITIVANJA GROMOBRANSKE INSTALACIJE</t>
  </si>
  <si>
    <t>INSTALACIJA ZAŠTITE OD MUNJE</t>
  </si>
  <si>
    <t>UKUPNO</t>
  </si>
  <si>
    <t>G)</t>
  </si>
  <si>
    <t>INSTALACIJA SUSTAVA ZA ODIMLJAVANJE</t>
  </si>
  <si>
    <t>NAPOMENA: MOTOR ZA OTVARANJE PROZORA NIJE NAVEDEN U TROŠKOVNIKU VEĆ JE SASTAVNI DIO PROZORA KOJI SLUŽI ZA ODIMLJAVANJE!</t>
  </si>
  <si>
    <t>Dobava, montaža i spajanje centrale za odimljavanje, 3.4A, mogućnost grupiranja motora u 1 grupu, napajanje centrale 230V, izlaz za komponente 24V, osigurana autonomija 72h. Komplet sa dva dimno/termički  javljača.</t>
  </si>
  <si>
    <t>Dobava, montaža i spajanje panela s komandama za ručno upravljanje pogonom za odimljavanje, 24 V.</t>
  </si>
  <si>
    <t>Dobava i montaža kutije za nadžbuknu ugradnju AS500 LTA prekidača (za jedan prekidač).</t>
  </si>
  <si>
    <t>Spajanje el.motora za otvaranje prozora za odimljavanje.</t>
  </si>
  <si>
    <t>Dobava i polaganje u PVC cijevi kabela za motore i napajanje TOXFREE PLUS 331 
ZH 0,6/1 kV E90 ili 3x1,5mm2, sa vatrootpornosti E90:</t>
  </si>
  <si>
    <t>Dobava i polaganje u PVC cijevi kabela za ručne upravljače, 2x2x0,8</t>
  </si>
  <si>
    <t>ISPITIVANJE INSTALACIJE SUSTAVA ZA ODIMLJAVANJE I IZDAVANJE ATESTA.</t>
  </si>
  <si>
    <t>H)</t>
  </si>
  <si>
    <t>INSTALACIJA VATRODOJAVE</t>
  </si>
  <si>
    <t>Dobava i ugradnja cijevi u spušteni strop i betonske zidove sa štemanjem i sa mjestimičnim gipsanjem:</t>
  </si>
  <si>
    <r>
      <t xml:space="preserve"> PVC cijev </t>
    </r>
    <r>
      <rPr>
        <sz val="10"/>
        <rFont val="Symbol"/>
        <family val="1"/>
        <charset val="2"/>
      </rPr>
      <t xml:space="preserve">F </t>
    </r>
    <r>
      <rPr>
        <sz val="10"/>
        <rFont val="Arial CE"/>
        <family val="2"/>
        <charset val="238"/>
      </rPr>
      <t>20mm</t>
    </r>
  </si>
  <si>
    <t>Dobava i uvlačenje u cijevi instalacijskog kabela, JB-H(St)H 2x2x0,8mm:</t>
  </si>
  <si>
    <t xml:space="preserve">Dobava, ugradnja i spajanje vatrodojavne centrala, modularna centrala na koju može biti priključeno 4-16 petlji pri ćemu se koriste analogno adresabilni uređaji.
</t>
  </si>
  <si>
    <t>Dobava, ugradnja i spajanje optičko-dimnog analogno adresibilnog javljača požara sa mogućnošću slanja standardnog i signala visoke osjetljivosti centralnom uređaju, sa izolatorom kvara na petlji ugrađenim u samom javljaču, visoka otpornost na vlagu, ugrađen svjetlosni indikator za signalizaciju alarma.</t>
  </si>
  <si>
    <t>Dobava, ugradnja i spajanje termičkog analogno adresibilnog javljača požara sa mogučnošću slanja standardnog i signala visoke osjetljivosti centralnom uređaju, sa izolatorom kvara na petlji ugrađenim u samom javljaču, visoka otpornost na vlagu, ugrađen svjetlosni indikator za signalizaciju alarma.</t>
  </si>
  <si>
    <t>Dobava, ugradnja i spajanje standardnog podnožja analogno adresabilnih javljača.</t>
  </si>
  <si>
    <t>Dobava, ugradnja i spajanje adresabilnog ručnog javljača požara, zajedno sa  postoljem za montažu na zid. Aktivacija javljača se vrši razbijanjem stakalca na kojem piše POŽAR. Stakalce je zaštićeno prozirnim PVC poklopcem. Javljač u stupnju zaštite IP X4.</t>
  </si>
  <si>
    <t>Dobava, ugradnja i spajanje analogno adresibilnog izlaznog modula za decentralizirano upravljanje različitim funkcijama (požarna vrata, ventilatori, klima sustavi, dizala i td.), sa izolatorom kvara na petlji ugrađenim u samom modulu, sa beznaponskim kontaktom NO/NC 30VAC/DC-1AAC/DC.</t>
  </si>
  <si>
    <t>Dobava, ugradnja i spajanje alarmne sirene, višetonska, 110 dB na 1 m, za vanjsku i unutrašnju montažu, IP 65.</t>
  </si>
  <si>
    <t>Dobava, ugradnja i spajanje akku baterije 12 V/12Ah za opskrbu  vatrodojavne centrala.</t>
  </si>
  <si>
    <t>Dobava,montaža i spajanje potrebnog instalacijskog materijala, plastični i čelični tipli, naljepnice za opremu, vezice, vijci s maticama i sl.potrošni materijal.</t>
  </si>
  <si>
    <t>Ispitivanje i puštanje u rad vatrodojavne instalacije te izdavanje atesta za tehnički pregled.</t>
  </si>
  <si>
    <t>R E K A P I T U L A C I J A</t>
  </si>
  <si>
    <t>PDV:</t>
  </si>
  <si>
    <t>Ponuđač radova:</t>
  </si>
  <si>
    <t>Projektant elektrotehnike:</t>
  </si>
  <si>
    <t>Luciano Ćustić, dipl. ing. el.</t>
  </si>
  <si>
    <t>VIK</t>
  </si>
  <si>
    <t>ELEKTRO</t>
  </si>
  <si>
    <t>GHV</t>
  </si>
  <si>
    <r>
      <rPr>
        <b/>
        <sz val="10"/>
        <rFont val="Arial"/>
        <family val="2"/>
        <charset val="238"/>
      </rPr>
      <t>Dobava i polaganje betonskih opločnika (elementi tipske betonske galanterije)</t>
    </r>
    <r>
      <rPr>
        <sz val="10"/>
        <rFont val="Arial"/>
        <family val="2"/>
        <charset val="238"/>
      </rPr>
      <t>. Opločnici od tlačenog betona ili sl. završne obrade i boje prema izboru projektanta/inv.  Površinski sloj mora zadovoljavati uvjete čvrstoće na cijepanje i habanje, otpornosti na smrzavanje i soli za posipanje tla prema EU normi HRN EN 1338.  Postavljaju se na prethodno izvedeni beton u padu ljepljenjem slojem građevinskog ljepila. U cijenu uključiti potrebni rad i materijal do potpunog dovršenja. Tip kao ASTI natura ploče sive 60x30x5 cm ili slično.</t>
    </r>
  </si>
  <si>
    <r>
      <rPr>
        <b/>
        <sz val="10"/>
        <rFont val="Arial"/>
        <family val="2"/>
        <charset val="238"/>
      </rPr>
      <t>Dobava i polaganje betonskih opločnika (elementi tipske betonske galanterije)</t>
    </r>
    <r>
      <rPr>
        <sz val="10"/>
        <rFont val="Arial"/>
        <family val="2"/>
        <charset val="238"/>
      </rPr>
      <t>. Opločnici od tlačenog betona ili sl. završne obrade i boje prema izboru projektanta/inv.  Površinski sloj mora zadovoljavati uvjete čvrstoće na cijepanje i habanje, otpornosti na smrzavanje i soli za posipanje tla prema EU normi HRN EN 1338.  Opločnici se postavljaju na podlogu od drobljene kamene sitneži prema kotama danim projektom. U cijenu uključiti potrebni rad i materijal do potpunog dovršenja. Tip kao ASTI natura ploče sive 60x30x5 cm ili slično.</t>
    </r>
  </si>
  <si>
    <t>dimenzija 120x120</t>
  </si>
  <si>
    <t xml:space="preserve">Dobava i ugradnja prozora za odimljavanje za ravni krov s kupolom, dim. 120x120 cm, izrađen od bijelog PVC kućišta visine 31 cm  (ispunjen izolacijskom pjenom), s integriranim motorom za otvaranje, ostakljen, dvostruko energetsko sigurnosno staklo (unutarnje laminirano staklo, Upr = 1,4 W / m² K) i zaštićeno transparentnom akrilnom kupolom. U slučaju požara prozor se automatski otvara i omogućuje izlaz dima i štetnih plinova (poput VELUX modela CSP). 
Uključiti i kontrolni sustav za odimljavanje koji se sastoji od kontrolne jedinice, senzora za dim i jedinice za aktivaciju (poput VELUX modela KFX 200).
</t>
  </si>
  <si>
    <t>Dobava i ugradnja prozora za ravni krov s kupolom sa zakrivljenim staklom,   dim.120x120 cm, izrađen od bijelog PVC kućišta visine 15 cm (ispunjen izolacijskom pjenom), ostakljen, dvostruko energetsko sigurnosno staklo (unutarnje laminirano staklo, Upr = 1,4 W / m² K) i zaštićeno transparentnom / mliječnom akrilnom kupolom. Prozor je fiksni, bez mogućnosti otvaranja</t>
  </si>
  <si>
    <r>
      <rPr>
        <b/>
        <sz val="10"/>
        <rFont val="Arial"/>
        <family val="2"/>
        <charset val="238"/>
      </rPr>
      <t>Dobava i postava unutarnjih prozorskih klupčica</t>
    </r>
    <r>
      <rPr>
        <sz val="10"/>
        <rFont val="Arial"/>
        <family val="2"/>
        <charset val="238"/>
      </rPr>
      <t>. Polažu se u cementni mort, prema detalju i u dogovoru s projektantom. Dimenzije presjeka su 19×3 cm. Kamen po izboru projektanta/investitora završno obrađen brušenjem pa poliranjem. Tip kao plano ili tome slično.</t>
    </r>
  </si>
  <si>
    <r>
      <rPr>
        <b/>
        <sz val="10"/>
        <rFont val="Arial"/>
        <family val="2"/>
        <charset val="238"/>
      </rPr>
      <t xml:space="preserve">Hidroizolacija horizontalnih dijelova konstrukcije. </t>
    </r>
    <r>
      <rPr>
        <sz val="10"/>
        <rFont val="Arial"/>
        <family val="2"/>
        <charset val="238"/>
      </rPr>
      <t>Dobava materijala i izrada horizontalne hidroizolacije podnih ploča s jednim hladnim premazom te dvostrukom varenom bitumenskom hidroizolacijom kao BITUVAL V-4 (1100 kg/m</t>
    </r>
    <r>
      <rPr>
        <vertAlign val="superscript"/>
        <sz val="10"/>
        <rFont val="Arial"/>
        <family val="2"/>
        <charset val="238"/>
      </rPr>
      <t>3</t>
    </r>
    <r>
      <rPr>
        <sz val="10"/>
        <rFont val="Arial"/>
        <family val="2"/>
        <charset val="238"/>
      </rPr>
      <t>) s uloškom staklenog voala ili sl. Bitumenske trake 100% varene međusobno i za podlogu. U cijenu su obračunata sva pričvršćenja, preklopi, svi zaštitni i izolacijski slojevi,   kao i obrada te brtvljenje prodora instalacija kroz hidroizolaciju  kako bi se osigurala vodonepropusnost (ugradba proturne cijevi ili sl.). Obračun po m</t>
    </r>
    <r>
      <rPr>
        <vertAlign val="superscript"/>
        <sz val="10"/>
        <rFont val="Arial"/>
        <family val="2"/>
        <charset val="238"/>
      </rPr>
      <t>2</t>
    </r>
    <r>
      <rPr>
        <sz val="10"/>
        <rFont val="Arial"/>
        <family val="2"/>
        <charset val="238"/>
      </rPr>
      <t xml:space="preserve"> izvedene izolacije.</t>
    </r>
  </si>
  <si>
    <t>Izrada, dostava i montaža dvokrilnih zaokretnih ostakljenih ulaznih vrata s nadsvjetlom. Staklo je sigurnosno. Vrata su izrađena od aluminijskih profila kvalitete kao Wicona ili Schuco (s prekinutim termičkim mostom) sa svim potrebnim sidrenjima, opšavima do pune funkcionalnosti, debljine 86 mm, Uf= 1,3 W/m²K, ukupno Uw=1,3 W/m²K. U stavku uključen sav pričvrsni i spojni materijal . Napraviti sve prema shemi i detaljima.
Napomena: Mjere provjeriti na licu mjesta.</t>
  </si>
  <si>
    <t>Izrada i postava  aluminijske ostakljene sigurnosnim staklom stijene. Sastoji od 4 segmenata od kojih je po jedan bočni fiksni, a ostali klizni. Izrađeni su od aluminijskih profila kvalitete kao Wicona ili Schico (s prekinutim termičkim mostom)  sa svim potrebnim sidrenjima, opšavima do pune funkcionalnosti, debljine 86 mm, Uf= 1,3 W/m²K, ostakljenje dvoslojno staklo sa Low-e premazom Ug=1,1 W/m²K, ukupno Uw=1,3 W/m²K. U stavku uključen sav pričvrsni i spojni materijal. Napraviti sve prema shemi i detaljima. Napomena: Mjere provjeriti na licu mjesta</t>
  </si>
  <si>
    <t>Dobava i ugradnja umivaonika I klase prilagođen osobama smanjene pokretljivosti, uključivo dovod tople i hladne vode, te odvod vode, uključivo sa  mješalicom sa svim pripadajućim spojnim sredstvima, kutnim ventilima, rozetom i sifonom.U stavku obračunata dobava, montaža i ugradnja,etažera,ogledala, držača za ručnike i držača tekućeg sapuna sa svim pripadajućim spojnim sredstvima. U stavku uračunata i obloga cijevi dovoda i odvoda.Komplet.</t>
  </si>
  <si>
    <t>60x65 cm</t>
  </si>
  <si>
    <t>Dobava i ugradnja vodokotlića s tipkalom kao Geberit ili sličnog istih karakteristika i  wc školjke prilagođeno osobama smanjene pokretljivosti  I klase s zidnim izljevom, uključivo dovod, te odvod vode, uključivo sa, kutnim ventilom, rozetom, sifonom, daskom za sjedenje i svim potrebnim priborom i držačem wc papira. U stavku uračunata i obloga cijevi dovoda i odvoda.Komplet.</t>
  </si>
  <si>
    <t>Dobava i ugradnja vodokotlića s sa senzorom kao Geberit ili sličnog istih karakteristika i  wc pisoara   I klase , uključivo dovod, te odvod vode, uključivo sa, kutnim ventilom, rozetom, sifonom i svim potrebnim priborom. U stavku uračunata i obloga cijevi dovoda i odvoda.Komplet.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</si>
</sst>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kn&quot;_-;\-* #,##0.00\ &quot;kn&quot;_-;_-* &quot;-&quot;??\ &quot;kn&quot;_-;_-@_-"/>
    <numFmt numFmtId="43" formatCode="_-* #,##0.00\ _k_n_-;\-* #,##0.00\ _k_n_-;_-* &quot;-&quot;??\ _k_n_-;_-@_-"/>
    <numFmt numFmtId="164" formatCode="#,##0.00\ _k_n"/>
    <numFmt numFmtId="165" formatCode="###,##0.00"/>
    <numFmt numFmtId="166" formatCode="00000"/>
    <numFmt numFmtId="167" formatCode="0.0"/>
    <numFmt numFmtId="168" formatCode="###."/>
  </numFmts>
  <fonts count="117">
    <font>
      <sz val="11"/>
      <color theme="1"/>
      <name val="Calibri"/>
      <family val="2"/>
      <scheme val="minor"/>
    </font>
    <font>
      <sz val="11"/>
      <color theme="1"/>
      <name val="Calibri"/>
      <family val="2"/>
      <charset val="238"/>
      <scheme val="minor"/>
    </font>
    <font>
      <sz val="11"/>
      <color theme="1"/>
      <name val="Calibri"/>
      <family val="2"/>
      <scheme val="minor"/>
    </font>
    <font>
      <b/>
      <sz val="11"/>
      <color theme="0"/>
      <name val="Calibri"/>
      <family val="2"/>
      <charset val="238"/>
      <scheme val="minor"/>
    </font>
    <font>
      <b/>
      <sz val="11"/>
      <color theme="1"/>
      <name val="Calibri"/>
      <family val="2"/>
      <charset val="238"/>
      <scheme val="minor"/>
    </font>
    <font>
      <b/>
      <sz val="14"/>
      <name val="Arial"/>
      <family val="2"/>
      <charset val="238"/>
    </font>
    <font>
      <sz val="14"/>
      <name val="Arial"/>
      <family val="2"/>
      <charset val="238"/>
    </font>
    <font>
      <sz val="10"/>
      <name val="Arial"/>
      <family val="2"/>
      <charset val="238"/>
    </font>
    <font>
      <sz val="12"/>
      <name val="Arial"/>
      <family val="2"/>
      <charset val="238"/>
    </font>
    <font>
      <b/>
      <i/>
      <sz val="9"/>
      <name val="Arial"/>
      <family val="2"/>
      <charset val="238"/>
    </font>
    <font>
      <i/>
      <sz val="9"/>
      <name val="Arial"/>
      <family val="2"/>
      <charset val="238"/>
    </font>
    <font>
      <sz val="9"/>
      <name val="Arial"/>
      <family val="2"/>
      <charset val="238"/>
    </font>
    <font>
      <sz val="9"/>
      <name val="Arial CE"/>
      <charset val="238"/>
    </font>
    <font>
      <b/>
      <i/>
      <u/>
      <sz val="11"/>
      <color theme="0"/>
      <name val="Calibri"/>
      <family val="2"/>
      <charset val="238"/>
      <scheme val="minor"/>
    </font>
    <font>
      <i/>
      <u/>
      <sz val="10"/>
      <name val="Arial"/>
      <family val="2"/>
      <charset val="238"/>
    </font>
    <font>
      <b/>
      <sz val="10"/>
      <name val="Arial"/>
      <family val="2"/>
      <charset val="238"/>
    </font>
    <font>
      <sz val="10"/>
      <name val="Arial"/>
      <family val="2"/>
    </font>
    <font>
      <vertAlign val="superscript"/>
      <sz val="10"/>
      <name val="Arial"/>
      <family val="2"/>
    </font>
    <font>
      <sz val="11"/>
      <color rgb="FFFF0000"/>
      <name val="Calibri"/>
      <family val="2"/>
      <scheme val="minor"/>
    </font>
    <font>
      <sz val="10"/>
      <color rgb="FFFF0000"/>
      <name val="Arial"/>
      <family val="2"/>
      <charset val="238"/>
    </font>
    <font>
      <b/>
      <sz val="11"/>
      <color rgb="FFFF0000"/>
      <name val="Calibri"/>
      <family val="2"/>
      <charset val="238"/>
      <scheme val="minor"/>
    </font>
    <font>
      <sz val="11"/>
      <name val="Calibri"/>
      <family val="2"/>
      <scheme val="minor"/>
    </font>
    <font>
      <vertAlign val="superscript"/>
      <sz val="10"/>
      <name val="Arial"/>
      <family val="2"/>
      <charset val="238"/>
    </font>
    <font>
      <b/>
      <sz val="9"/>
      <name val="Arial"/>
      <family val="2"/>
      <charset val="238"/>
    </font>
    <font>
      <sz val="10"/>
      <name val="Helv"/>
    </font>
    <font>
      <i/>
      <sz val="10"/>
      <name val="Arial"/>
      <family val="2"/>
      <charset val="238"/>
    </font>
    <font>
      <b/>
      <sz val="10"/>
      <name val="Arial CE"/>
      <charset val="238"/>
    </font>
    <font>
      <sz val="10"/>
      <name val="Arial CE"/>
      <charset val="238"/>
    </font>
    <font>
      <b/>
      <sz val="9"/>
      <name val="Arial CE"/>
      <charset val="238"/>
    </font>
    <font>
      <sz val="10"/>
      <name val="Tahoma"/>
      <family val="2"/>
      <charset val="238"/>
    </font>
    <font>
      <b/>
      <sz val="11"/>
      <color theme="0"/>
      <name val="Arial"/>
      <family val="2"/>
      <charset val="238"/>
    </font>
    <font>
      <sz val="10"/>
      <name val="Symbol"/>
      <family val="1"/>
      <charset val="2"/>
    </font>
    <font>
      <sz val="10"/>
      <name val="Arial Narrow"/>
      <family val="2"/>
      <charset val="238"/>
    </font>
    <font>
      <b/>
      <sz val="10"/>
      <color theme="0"/>
      <name val="Arial"/>
      <family val="2"/>
      <charset val="238"/>
    </font>
    <font>
      <b/>
      <i/>
      <sz val="10"/>
      <name val="Arial"/>
      <family val="2"/>
      <charset val="238"/>
    </font>
    <font>
      <sz val="10"/>
      <color theme="1"/>
      <name val="Arial"/>
      <family val="2"/>
      <charset val="238"/>
    </font>
    <font>
      <b/>
      <sz val="11"/>
      <color theme="1"/>
      <name val="Calibri"/>
      <family val="2"/>
      <scheme val="minor"/>
    </font>
    <font>
      <sz val="11"/>
      <name val="Century Gothic"/>
      <family val="2"/>
    </font>
    <font>
      <b/>
      <sz val="11"/>
      <name val="Century Gothic"/>
      <family val="2"/>
    </font>
    <font>
      <i/>
      <sz val="10"/>
      <color rgb="FFA6A6A6"/>
      <name val="Century Gothic"/>
      <family val="2"/>
      <charset val="238"/>
    </font>
    <font>
      <u/>
      <sz val="10"/>
      <color theme="10"/>
      <name val="Arial"/>
      <family val="2"/>
      <charset val="238"/>
    </font>
    <font>
      <sz val="12"/>
      <name val="Century Gothic"/>
      <family val="2"/>
    </font>
    <font>
      <sz val="10"/>
      <name val="Century Gothic"/>
      <family val="2"/>
    </font>
    <font>
      <b/>
      <sz val="12"/>
      <name val="Century Gothic"/>
      <family val="2"/>
    </font>
    <font>
      <b/>
      <sz val="14"/>
      <name val="Century Gothic"/>
      <family val="2"/>
    </font>
    <font>
      <b/>
      <i/>
      <sz val="14"/>
      <name val="Century Gothic"/>
      <family val="2"/>
    </font>
    <font>
      <b/>
      <i/>
      <sz val="16"/>
      <name val="Century Gothic"/>
      <family val="2"/>
      <charset val="238"/>
    </font>
    <font>
      <i/>
      <sz val="10"/>
      <name val="Century Gothic"/>
      <family val="2"/>
      <charset val="238"/>
    </font>
    <font>
      <b/>
      <sz val="10"/>
      <name val="Century Gothic"/>
      <family val="2"/>
      <charset val="238"/>
    </font>
    <font>
      <sz val="10"/>
      <name val="Century Gothic"/>
      <family val="2"/>
      <charset val="238"/>
    </font>
    <font>
      <b/>
      <sz val="10"/>
      <name val="Arial"/>
      <family val="2"/>
    </font>
    <font>
      <b/>
      <sz val="11"/>
      <color indexed="8"/>
      <name val="Arial Narrow"/>
      <family val="2"/>
      <charset val="238"/>
    </font>
    <font>
      <b/>
      <sz val="10"/>
      <color indexed="8"/>
      <name val="Arial Narrow"/>
      <family val="2"/>
      <charset val="238"/>
    </font>
    <font>
      <sz val="10"/>
      <color indexed="8"/>
      <name val="Arial Narrow"/>
      <family val="2"/>
      <charset val="238"/>
    </font>
    <font>
      <sz val="11"/>
      <name val="Arial Narrow"/>
      <family val="2"/>
      <charset val="238"/>
    </font>
    <font>
      <b/>
      <sz val="10"/>
      <name val="Arial Narrow"/>
      <family val="2"/>
      <charset val="238"/>
    </font>
    <font>
      <i/>
      <sz val="10"/>
      <name val="Arial Narrow"/>
      <family val="2"/>
      <charset val="238"/>
    </font>
    <font>
      <i/>
      <sz val="11"/>
      <name val="Times New Roman"/>
      <family val="1"/>
      <charset val="238"/>
    </font>
    <font>
      <sz val="11"/>
      <color theme="1"/>
      <name val="Arial Narrow"/>
      <family val="2"/>
      <charset val="238"/>
    </font>
    <font>
      <sz val="11"/>
      <color rgb="FFFF0000"/>
      <name val="Arial Narrow"/>
      <family val="2"/>
      <charset val="238"/>
    </font>
    <font>
      <sz val="10"/>
      <color rgb="FFFF0000"/>
      <name val="Arial Narrow"/>
      <family val="2"/>
      <charset val="238"/>
    </font>
    <font>
      <b/>
      <sz val="11"/>
      <name val="Arial Narrow"/>
      <family val="2"/>
      <charset val="238"/>
    </font>
    <font>
      <b/>
      <sz val="11"/>
      <color rgb="FFFF0000"/>
      <name val="Arial Narrow"/>
      <family val="2"/>
      <charset val="238"/>
    </font>
    <font>
      <b/>
      <sz val="10"/>
      <color rgb="FFFF0000"/>
      <name val="Arial Narrow"/>
      <family val="2"/>
      <charset val="238"/>
    </font>
    <font>
      <vertAlign val="superscript"/>
      <sz val="10"/>
      <name val="Arial Narrow"/>
      <family val="2"/>
      <charset val="238"/>
    </font>
    <font>
      <u/>
      <sz val="10"/>
      <name val="Arial Narrow"/>
      <family val="2"/>
      <charset val="238"/>
    </font>
    <font>
      <sz val="10"/>
      <color theme="0"/>
      <name val="Arial Narrow"/>
      <family val="2"/>
      <charset val="238"/>
    </font>
    <font>
      <b/>
      <sz val="10"/>
      <color theme="0"/>
      <name val="Arial Narrow"/>
      <family val="2"/>
      <charset val="238"/>
    </font>
    <font>
      <b/>
      <sz val="10"/>
      <color theme="1"/>
      <name val="Arial Narrow"/>
      <family val="2"/>
      <charset val="238"/>
    </font>
    <font>
      <sz val="10"/>
      <color theme="1"/>
      <name val="Arial Narrow"/>
      <family val="2"/>
      <charset val="238"/>
    </font>
    <font>
      <vertAlign val="superscript"/>
      <sz val="10"/>
      <color indexed="8"/>
      <name val="Arial Narrow"/>
      <family val="2"/>
      <charset val="238"/>
    </font>
    <font>
      <b/>
      <sz val="11"/>
      <color theme="1"/>
      <name val="Arial Narrow"/>
      <family val="2"/>
      <charset val="238"/>
    </font>
    <font>
      <sz val="11"/>
      <color indexed="8"/>
      <name val="Arial Narrow"/>
      <family val="2"/>
      <charset val="238"/>
    </font>
    <font>
      <b/>
      <i/>
      <sz val="10"/>
      <name val="Arial Narrow"/>
      <family val="2"/>
      <charset val="238"/>
    </font>
    <font>
      <sz val="10"/>
      <color indexed="10"/>
      <name val="Arial Narrow"/>
      <family val="2"/>
      <charset val="238"/>
    </font>
    <font>
      <sz val="12"/>
      <color indexed="8"/>
      <name val="Arial Narrow"/>
      <family val="2"/>
      <charset val="238"/>
    </font>
    <font>
      <sz val="12"/>
      <color indexed="10"/>
      <name val="Arial Narrow"/>
      <family val="2"/>
      <charset val="238"/>
    </font>
    <font>
      <sz val="12"/>
      <name val="Arial Narrow"/>
      <family val="2"/>
      <charset val="238"/>
    </font>
    <font>
      <b/>
      <i/>
      <sz val="11"/>
      <name val="Arial"/>
      <family val="2"/>
      <charset val="238"/>
    </font>
    <font>
      <b/>
      <sz val="11"/>
      <name val="Arial"/>
      <family val="2"/>
      <charset val="238"/>
    </font>
    <font>
      <b/>
      <sz val="11"/>
      <name val="Arial"/>
      <family val="1"/>
    </font>
    <font>
      <sz val="11"/>
      <name val="Arial"/>
      <family val="2"/>
    </font>
    <font>
      <b/>
      <i/>
      <sz val="11"/>
      <name val="Arial"/>
      <family val="2"/>
    </font>
    <font>
      <sz val="11"/>
      <color indexed="10"/>
      <name val="Arial"/>
      <family val="2"/>
    </font>
    <font>
      <b/>
      <sz val="11"/>
      <name val="Arial"/>
      <family val="2"/>
    </font>
    <font>
      <b/>
      <sz val="12"/>
      <name val="Arial"/>
      <family val="2"/>
    </font>
    <font>
      <b/>
      <i/>
      <sz val="12"/>
      <name val="Arial"/>
      <family val="2"/>
    </font>
    <font>
      <sz val="10"/>
      <name val="Calibri"/>
      <family val="2"/>
      <charset val="238"/>
      <scheme val="minor"/>
    </font>
    <font>
      <b/>
      <i/>
      <sz val="10"/>
      <name val="Calibri"/>
      <family val="2"/>
      <charset val="238"/>
      <scheme val="minor"/>
    </font>
    <font>
      <sz val="11"/>
      <color rgb="FFFF0000"/>
      <name val="Arial"/>
      <family val="2"/>
    </font>
    <font>
      <b/>
      <sz val="11"/>
      <color rgb="FFFF0000"/>
      <name val="Arial"/>
      <family val="2"/>
      <charset val="238"/>
    </font>
    <font>
      <b/>
      <sz val="12"/>
      <name val="Arial"/>
      <family val="2"/>
      <charset val="238"/>
    </font>
    <font>
      <b/>
      <sz val="10"/>
      <name val="Calibri"/>
      <family val="2"/>
      <charset val="238"/>
      <scheme val="minor"/>
    </font>
    <font>
      <b/>
      <sz val="12"/>
      <name val="Arial CE"/>
      <family val="2"/>
      <charset val="238"/>
    </font>
    <font>
      <sz val="10"/>
      <name val="Arial CE"/>
      <family val="2"/>
      <charset val="238"/>
    </font>
    <font>
      <b/>
      <sz val="10"/>
      <name val="Arial CE"/>
      <family val="2"/>
      <charset val="238"/>
    </font>
    <font>
      <b/>
      <sz val="11"/>
      <name val="Arial CE"/>
      <family val="2"/>
      <charset val="238"/>
    </font>
    <font>
      <b/>
      <sz val="12"/>
      <name val="Times New Roman"/>
      <family val="1"/>
      <charset val="238"/>
    </font>
    <font>
      <sz val="11"/>
      <name val="TopazFEF"/>
    </font>
    <font>
      <vertAlign val="superscript"/>
      <sz val="10"/>
      <name val="Arial CE"/>
      <family val="2"/>
      <charset val="238"/>
    </font>
    <font>
      <sz val="10"/>
      <name val="Arial CE"/>
      <family val="1"/>
      <charset val="2"/>
    </font>
    <font>
      <sz val="10"/>
      <name val="Calibri"/>
      <family val="2"/>
      <charset val="238"/>
    </font>
    <font>
      <sz val="10"/>
      <color rgb="FFFF0000"/>
      <name val="Arial CE"/>
      <family val="2"/>
      <charset val="238"/>
    </font>
    <font>
      <b/>
      <i/>
      <sz val="10"/>
      <name val="Arial CE"/>
      <family val="2"/>
      <charset val="238"/>
    </font>
    <font>
      <i/>
      <sz val="10"/>
      <name val="Arial CE"/>
      <family val="2"/>
      <charset val="238"/>
    </font>
    <font>
      <sz val="11"/>
      <name val="Arial CE"/>
      <family val="2"/>
      <charset val="238"/>
    </font>
    <font>
      <sz val="10"/>
      <color indexed="50"/>
      <name val="Arial CE"/>
      <family val="2"/>
      <charset val="238"/>
    </font>
    <font>
      <b/>
      <i/>
      <sz val="10"/>
      <color indexed="32"/>
      <name val="Arial CE"/>
      <family val="2"/>
      <charset val="238"/>
    </font>
    <font>
      <b/>
      <i/>
      <sz val="10"/>
      <color indexed="17"/>
      <name val="Arial CE"/>
      <family val="2"/>
      <charset val="238"/>
    </font>
    <font>
      <sz val="10"/>
      <color theme="0"/>
      <name val="Arial CE"/>
      <family val="2"/>
      <charset val="238"/>
    </font>
    <font>
      <sz val="10"/>
      <name val="Helv"/>
      <charset val="238"/>
    </font>
    <font>
      <sz val="10"/>
      <color theme="0"/>
      <name val="Helv"/>
    </font>
    <font>
      <b/>
      <i/>
      <sz val="10"/>
      <name val="Arial CE"/>
      <charset val="238"/>
    </font>
    <font>
      <sz val="10"/>
      <color indexed="8"/>
      <name val="Arial CE"/>
      <family val="2"/>
      <charset val="238"/>
    </font>
    <font>
      <b/>
      <sz val="14"/>
      <name val="Arial CE"/>
      <family val="2"/>
      <charset val="238"/>
    </font>
    <font>
      <sz val="12"/>
      <name val="Arial CE"/>
      <family val="2"/>
      <charset val="238"/>
    </font>
    <font>
      <b/>
      <sz val="14"/>
      <color theme="1"/>
      <name val="Arial"/>
      <family val="2"/>
      <charset val="238"/>
    </font>
  </fonts>
  <fills count="10">
    <fill>
      <patternFill patternType="none"/>
    </fill>
    <fill>
      <patternFill patternType="gray125"/>
    </fill>
    <fill>
      <patternFill patternType="solid">
        <fgColor indexed="22"/>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A5A5A5"/>
      </patternFill>
    </fill>
    <fill>
      <patternFill patternType="solid">
        <fgColor indexed="47"/>
        <bgColor indexed="64"/>
      </patternFill>
    </fill>
  </fills>
  <borders count="29">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s>
  <cellStyleXfs count="25">
    <xf numFmtId="0" fontId="0" fillId="0" borderId="0"/>
    <xf numFmtId="43" fontId="2" fillId="0" borderId="0" applyFont="0" applyFill="0" applyBorder="0" applyAlignment="0" applyProtection="0"/>
    <xf numFmtId="0" fontId="7" fillId="0" borderId="0"/>
    <xf numFmtId="0" fontId="7" fillId="0" borderId="0"/>
    <xf numFmtId="0" fontId="29" fillId="0" borderId="0"/>
    <xf numFmtId="0" fontId="7" fillId="0" borderId="0"/>
    <xf numFmtId="4" fontId="16" fillId="0" borderId="0">
      <alignment horizontal="justify" vertical="justify"/>
    </xf>
    <xf numFmtId="0" fontId="40" fillId="0" borderId="0" applyNumberFormat="0" applyFill="0" applyBorder="0" applyAlignment="0" applyProtection="0"/>
    <xf numFmtId="0" fontId="1" fillId="0" borderId="0"/>
    <xf numFmtId="0" fontId="1" fillId="0" borderId="0"/>
    <xf numFmtId="0" fontId="3" fillId="8" borderId="16" applyNumberFormat="0" applyAlignment="0" applyProtection="0"/>
    <xf numFmtId="0" fontId="7" fillId="0" borderId="0"/>
    <xf numFmtId="0" fontId="7" fillId="0" borderId="0"/>
    <xf numFmtId="0" fontId="7" fillId="0" borderId="0"/>
    <xf numFmtId="0" fontId="24" fillId="0" borderId="0"/>
    <xf numFmtId="0" fontId="7" fillId="0" borderId="0"/>
    <xf numFmtId="0" fontId="7" fillId="0" borderId="0"/>
    <xf numFmtId="0" fontId="16" fillId="0" borderId="0"/>
    <xf numFmtId="0" fontId="7" fillId="0" borderId="0"/>
    <xf numFmtId="0" fontId="7" fillId="0" borderId="0"/>
    <xf numFmtId="0" fontId="7" fillId="0" borderId="0"/>
    <xf numFmtId="0" fontId="98" fillId="0" borderId="0" applyProtection="0">
      <alignment horizontal="left" vertical="top"/>
    </xf>
    <xf numFmtId="0" fontId="7" fillId="0" borderId="0"/>
    <xf numFmtId="0" fontId="98" fillId="0" borderId="0" applyProtection="0">
      <alignment horizontal="left" vertical="top"/>
    </xf>
    <xf numFmtId="0" fontId="94" fillId="0" borderId="0"/>
  </cellStyleXfs>
  <cellXfs count="990">
    <xf numFmtId="0" fontId="0" fillId="0" borderId="0" xfId="0"/>
    <xf numFmtId="0" fontId="5"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0" xfId="0" applyFont="1" applyFill="1" applyBorder="1"/>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6" fillId="0" borderId="0" xfId="0" applyFont="1" applyBorder="1"/>
    <xf numFmtId="4" fontId="3" fillId="3" borderId="0" xfId="0" applyNumberFormat="1" applyFont="1" applyFill="1" applyBorder="1" applyAlignment="1">
      <alignment horizontal="left" vertical="center" wrapText="1"/>
    </xf>
    <xf numFmtId="4" fontId="3" fillId="3" borderId="0" xfId="0" applyNumberFormat="1" applyFont="1" applyFill="1" applyBorder="1" applyAlignment="1">
      <alignment horizontal="center" vertical="center" wrapText="1"/>
    </xf>
    <xf numFmtId="0" fontId="0" fillId="3" borderId="2" xfId="0" applyFill="1" applyBorder="1"/>
    <xf numFmtId="0" fontId="0" fillId="0" borderId="0" xfId="0" applyBorder="1"/>
    <xf numFmtId="0" fontId="7" fillId="0" borderId="1" xfId="0" applyFont="1" applyBorder="1" applyAlignment="1">
      <alignment horizontal="center" vertical="top"/>
    </xf>
    <xf numFmtId="49" fontId="8" fillId="0" borderId="0" xfId="0" applyNumberFormat="1" applyFont="1" applyBorder="1" applyAlignment="1">
      <alignment horizontal="center" vertical="top" wrapText="1"/>
    </xf>
    <xf numFmtId="0" fontId="0" fillId="0" borderId="2" xfId="0" applyBorder="1"/>
    <xf numFmtId="0" fontId="7" fillId="0" borderId="6" xfId="0" applyFont="1" applyBorder="1" applyAlignment="1">
      <alignment horizontal="center" vertical="center"/>
    </xf>
    <xf numFmtId="49" fontId="7" fillId="0" borderId="7" xfId="0" applyNumberFormat="1" applyFont="1" applyBorder="1" applyAlignment="1">
      <alignment horizontal="center" vertical="center" wrapText="1"/>
    </xf>
    <xf numFmtId="49" fontId="7" fillId="0" borderId="7" xfId="0" applyNumberFormat="1" applyFont="1" applyBorder="1" applyAlignment="1">
      <alignment horizontal="center" vertical="center"/>
    </xf>
    <xf numFmtId="0" fontId="7" fillId="0" borderId="8" xfId="0" applyFont="1" applyBorder="1" applyAlignment="1">
      <alignment horizontal="center" vertical="center"/>
    </xf>
    <xf numFmtId="0" fontId="0" fillId="3" borderId="8" xfId="0" applyFill="1" applyBorder="1"/>
    <xf numFmtId="0" fontId="7" fillId="0" borderId="7" xfId="0" applyFont="1" applyBorder="1" applyAlignment="1">
      <alignment horizontal="center" vertical="center"/>
    </xf>
    <xf numFmtId="0" fontId="9" fillId="0" borderId="1" xfId="0" applyFont="1" applyBorder="1"/>
    <xf numFmtId="0" fontId="10" fillId="0" borderId="0" xfId="0" applyFont="1" applyBorder="1"/>
    <xf numFmtId="0" fontId="10" fillId="0" borderId="0" xfId="0" applyFont="1" applyBorder="1" applyAlignment="1"/>
    <xf numFmtId="4" fontId="10" fillId="0" borderId="0" xfId="0" applyNumberFormat="1" applyFont="1" applyBorder="1" applyAlignment="1"/>
    <xf numFmtId="0" fontId="10" fillId="0" borderId="0" xfId="0" applyFont="1" applyBorder="1" applyAlignment="1">
      <alignment horizontal="right"/>
    </xf>
    <xf numFmtId="0" fontId="11" fillId="0" borderId="2" xfId="0" applyFont="1" applyBorder="1"/>
    <xf numFmtId="49" fontId="12" fillId="0" borderId="0" xfId="0" applyNumberFormat="1" applyFont="1" applyAlignment="1">
      <alignment horizontal="justify" vertical="top" wrapText="1"/>
    </xf>
    <xf numFmtId="0" fontId="7" fillId="0" borderId="0" xfId="2" applyBorder="1"/>
    <xf numFmtId="0" fontId="11" fillId="0" borderId="0" xfId="0" applyFont="1" applyBorder="1" applyAlignment="1">
      <alignment horizontal="right" vertical="top" wrapText="1"/>
    </xf>
    <xf numFmtId="0" fontId="11" fillId="0" borderId="0" xfId="0" applyFont="1" applyBorder="1" applyAlignment="1">
      <alignment horizontal="justify" wrapText="1"/>
    </xf>
    <xf numFmtId="4" fontId="11" fillId="0" borderId="0" xfId="0" applyNumberFormat="1" applyFont="1" applyBorder="1" applyAlignment="1">
      <alignment horizontal="justify" wrapText="1"/>
    </xf>
    <xf numFmtId="0" fontId="11" fillId="0" borderId="2" xfId="0" applyFont="1" applyBorder="1" applyAlignment="1">
      <alignment horizontal="justify" vertical="top" wrapText="1"/>
    </xf>
    <xf numFmtId="4" fontId="3" fillId="3" borderId="1" xfId="2" applyNumberFormat="1" applyFont="1" applyFill="1" applyBorder="1" applyAlignment="1">
      <alignment horizontal="center" vertical="center" wrapText="1"/>
    </xf>
    <xf numFmtId="4" fontId="13" fillId="3" borderId="0" xfId="2" applyNumberFormat="1" applyFont="1" applyFill="1" applyBorder="1" applyAlignment="1">
      <alignment horizontal="left" vertical="center" wrapText="1"/>
    </xf>
    <xf numFmtId="4" fontId="3" fillId="3" borderId="0" xfId="2" applyNumberFormat="1" applyFont="1" applyFill="1" applyBorder="1" applyAlignment="1">
      <alignment horizontal="center" vertical="center" wrapText="1"/>
    </xf>
    <xf numFmtId="0" fontId="7" fillId="3" borderId="9" xfId="2" applyFill="1" applyBorder="1"/>
    <xf numFmtId="4" fontId="3" fillId="3" borderId="2" xfId="2" applyNumberFormat="1" applyFont="1" applyFill="1" applyBorder="1" applyAlignment="1">
      <alignment horizontal="center" vertical="center" wrapText="1"/>
    </xf>
    <xf numFmtId="0" fontId="7" fillId="0" borderId="1" xfId="0" applyFont="1" applyBorder="1" applyAlignment="1">
      <alignment horizontal="center" vertical="center"/>
    </xf>
    <xf numFmtId="49" fontId="14" fillId="0" borderId="0" xfId="0" applyNumberFormat="1" applyFont="1" applyBorder="1" applyAlignment="1">
      <alignment horizontal="left" vertical="center" wrapText="1"/>
    </xf>
    <xf numFmtId="49" fontId="7" fillId="0" borderId="0" xfId="0" applyNumberFormat="1"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top"/>
    </xf>
    <xf numFmtId="0" fontId="7" fillId="0" borderId="11" xfId="0" applyFont="1" applyFill="1" applyBorder="1" applyAlignment="1">
      <alignment horizontal="left" vertical="top" wrapText="1"/>
    </xf>
    <xf numFmtId="0" fontId="16" fillId="0" borderId="11" xfId="0" applyFont="1" applyFill="1" applyBorder="1" applyAlignment="1">
      <alignment horizontal="center" vertical="top" wrapText="1"/>
    </xf>
    <xf numFmtId="4" fontId="16" fillId="0" borderId="12" xfId="0" applyNumberFormat="1" applyFont="1" applyBorder="1" applyAlignment="1">
      <alignment horizontal="right" vertical="top" wrapText="1"/>
    </xf>
    <xf numFmtId="0" fontId="0" fillId="3" borderId="12" xfId="0" applyFill="1" applyBorder="1"/>
    <xf numFmtId="4" fontId="16" fillId="0" borderId="11" xfId="0" applyNumberFormat="1" applyFont="1" applyFill="1" applyBorder="1" applyAlignment="1">
      <alignment horizontal="right" vertical="top" wrapText="1"/>
    </xf>
    <xf numFmtId="4" fontId="16" fillId="0" borderId="12" xfId="0" applyNumberFormat="1" applyFont="1" applyFill="1" applyBorder="1" applyAlignment="1">
      <alignment horizontal="right" vertical="top"/>
    </xf>
    <xf numFmtId="16" fontId="7" fillId="0" borderId="1" xfId="0" applyNumberFormat="1" applyFont="1" applyBorder="1" applyAlignment="1">
      <alignment horizontal="right" vertical="top"/>
    </xf>
    <xf numFmtId="49" fontId="7" fillId="0" borderId="0" xfId="0" applyNumberFormat="1" applyFont="1" applyBorder="1" applyAlignment="1">
      <alignment horizontal="justify" vertical="top" wrapText="1"/>
    </xf>
    <xf numFmtId="0" fontId="16" fillId="0" borderId="0" xfId="0" applyFont="1" applyFill="1" applyBorder="1" applyAlignment="1">
      <alignment horizontal="center" vertical="top" wrapText="1"/>
    </xf>
    <xf numFmtId="4" fontId="16" fillId="4" borderId="2" xfId="0" applyNumberFormat="1" applyFont="1" applyFill="1" applyBorder="1" applyAlignment="1" applyProtection="1">
      <alignment horizontal="right" vertical="top" wrapText="1"/>
      <protection locked="0"/>
    </xf>
    <xf numFmtId="4" fontId="16" fillId="5" borderId="0" xfId="0" applyNumberFormat="1" applyFont="1" applyFill="1" applyBorder="1" applyAlignment="1">
      <alignment horizontal="right" vertical="top" wrapText="1"/>
    </xf>
    <xf numFmtId="4" fontId="16" fillId="0" borderId="2" xfId="0" applyNumberFormat="1" applyFont="1" applyFill="1" applyBorder="1" applyAlignment="1">
      <alignment horizontal="right" vertical="top"/>
    </xf>
    <xf numFmtId="49" fontId="7" fillId="0" borderId="0" xfId="0" applyNumberFormat="1" applyFont="1" applyBorder="1" applyAlignment="1">
      <alignment horizontal="center" vertical="center" wrapText="1"/>
    </xf>
    <xf numFmtId="0" fontId="7" fillId="0" borderId="0" xfId="0" applyFont="1" applyBorder="1" applyAlignment="1">
      <alignment horizontal="right" vertical="center"/>
    </xf>
    <xf numFmtId="0" fontId="0" fillId="0" borderId="1" xfId="0" applyBorder="1" applyAlignment="1">
      <alignment horizontal="center" vertical="top"/>
    </xf>
    <xf numFmtId="0" fontId="7" fillId="0" borderId="0" xfId="0" applyFont="1" applyFill="1" applyBorder="1" applyAlignment="1">
      <alignment horizontal="left" vertical="top" wrapText="1"/>
    </xf>
    <xf numFmtId="4" fontId="16" fillId="0" borderId="2" xfId="0" applyNumberFormat="1" applyFont="1" applyBorder="1" applyAlignment="1">
      <alignment horizontal="right" vertical="top" wrapText="1"/>
    </xf>
    <xf numFmtId="4" fontId="16" fillId="0" borderId="0" xfId="0" applyNumberFormat="1" applyFont="1" applyFill="1" applyBorder="1" applyAlignment="1">
      <alignment horizontal="right" vertical="top" wrapText="1"/>
    </xf>
    <xf numFmtId="0" fontId="7" fillId="0" borderId="1" xfId="0" applyFont="1" applyBorder="1" applyAlignment="1">
      <alignment horizontal="right" vertical="top"/>
    </xf>
    <xf numFmtId="0" fontId="7" fillId="0" borderId="0" xfId="0" applyFont="1" applyFill="1" applyBorder="1" applyAlignment="1">
      <alignment horizontal="justify" vertical="top" wrapText="1"/>
    </xf>
    <xf numFmtId="0" fontId="7" fillId="0" borderId="0" xfId="0" applyFont="1" applyBorder="1" applyAlignment="1">
      <alignment horizontal="right"/>
    </xf>
    <xf numFmtId="16" fontId="7" fillId="0" borderId="1" xfId="0" applyNumberFormat="1" applyFont="1" applyBorder="1" applyAlignment="1">
      <alignment horizontal="center" vertical="top"/>
    </xf>
    <xf numFmtId="0" fontId="7" fillId="0" borderId="0" xfId="0" applyNumberFormat="1" applyFont="1" applyFill="1" applyBorder="1" applyAlignment="1" applyProtection="1">
      <alignment horizontal="left" vertical="top" wrapText="1"/>
    </xf>
    <xf numFmtId="16" fontId="7" fillId="0" borderId="6" xfId="0" applyNumberFormat="1" applyFont="1" applyBorder="1" applyAlignment="1">
      <alignment horizontal="center" vertical="top"/>
    </xf>
    <xf numFmtId="0" fontId="7" fillId="0" borderId="7" xfId="0" applyNumberFormat="1" applyFont="1" applyFill="1" applyBorder="1" applyAlignment="1" applyProtection="1">
      <alignment horizontal="left" vertical="top" wrapText="1"/>
    </xf>
    <xf numFmtId="49" fontId="7" fillId="0" borderId="7" xfId="0" applyNumberFormat="1" applyFont="1" applyBorder="1" applyAlignment="1">
      <alignment horizontal="center" vertical="top" wrapText="1"/>
    </xf>
    <xf numFmtId="0" fontId="7" fillId="0" borderId="7" xfId="0" applyFont="1" applyBorder="1" applyAlignment="1">
      <alignment horizontal="right"/>
    </xf>
    <xf numFmtId="4" fontId="15" fillId="0" borderId="2" xfId="0" applyNumberFormat="1" applyFont="1" applyFill="1" applyBorder="1" applyAlignment="1">
      <alignment horizontal="right" vertical="top"/>
    </xf>
    <xf numFmtId="49" fontId="0" fillId="0" borderId="0" xfId="0" applyNumberFormat="1" applyAlignment="1">
      <alignment horizontal="justify" vertical="top" wrapText="1"/>
    </xf>
    <xf numFmtId="49" fontId="0" fillId="0" borderId="0" xfId="0" applyNumberFormat="1" applyAlignment="1">
      <alignment horizontal="center" vertical="top" wrapText="1"/>
    </xf>
    <xf numFmtId="0" fontId="0" fillId="0" borderId="0" xfId="0" applyBorder="1" applyAlignment="1">
      <alignment horizontal="right"/>
    </xf>
    <xf numFmtId="0" fontId="18" fillId="3" borderId="2" xfId="0" applyFont="1" applyFill="1" applyBorder="1"/>
    <xf numFmtId="0" fontId="18" fillId="0" borderId="0" xfId="0" applyFont="1"/>
    <xf numFmtId="0" fontId="19" fillId="0" borderId="1" xfId="0" applyFont="1" applyBorder="1" applyAlignment="1">
      <alignment horizontal="center" vertical="center"/>
    </xf>
    <xf numFmtId="49" fontId="19" fillId="0" borderId="0" xfId="0" applyNumberFormat="1" applyFont="1" applyBorder="1" applyAlignment="1">
      <alignment horizontal="center" vertical="center" wrapText="1"/>
    </xf>
    <xf numFmtId="0" fontId="18" fillId="0" borderId="2" xfId="0" applyFont="1" applyBorder="1"/>
    <xf numFmtId="49" fontId="19" fillId="0" borderId="0" xfId="0" applyNumberFormat="1" applyFont="1" applyBorder="1" applyAlignment="1">
      <alignment horizontal="center" vertical="top" wrapText="1"/>
    </xf>
    <xf numFmtId="2" fontId="18" fillId="0" borderId="2" xfId="0" applyNumberFormat="1" applyFont="1" applyBorder="1" applyAlignment="1">
      <alignment horizontal="center"/>
    </xf>
    <xf numFmtId="0" fontId="19" fillId="0" borderId="0" xfId="0" applyFont="1" applyBorder="1" applyAlignment="1">
      <alignment horizontal="right"/>
    </xf>
    <xf numFmtId="16" fontId="19" fillId="0" borderId="1" xfId="0" applyNumberFormat="1" applyFont="1" applyBorder="1" applyAlignment="1">
      <alignment horizontal="center" vertical="top"/>
    </xf>
    <xf numFmtId="0" fontId="19" fillId="0" borderId="0" xfId="0" applyNumberFormat="1" applyFont="1" applyFill="1" applyBorder="1" applyAlignment="1" applyProtection="1">
      <alignment horizontal="left" vertical="top" wrapText="1"/>
    </xf>
    <xf numFmtId="0" fontId="21" fillId="0" borderId="1" xfId="0" applyFont="1" applyBorder="1" applyAlignment="1">
      <alignment horizontal="center" vertical="top"/>
    </xf>
    <xf numFmtId="0" fontId="21" fillId="3" borderId="2" xfId="0" applyFont="1" applyFill="1" applyBorder="1"/>
    <xf numFmtId="0" fontId="4" fillId="0" borderId="0" xfId="0" applyFont="1"/>
    <xf numFmtId="2" fontId="21" fillId="0" borderId="8" xfId="0" applyNumberFormat="1" applyFont="1" applyBorder="1" applyAlignment="1">
      <alignment horizontal="center"/>
    </xf>
    <xf numFmtId="0" fontId="21" fillId="3" borderId="8" xfId="0" applyFont="1" applyFill="1" applyBorder="1"/>
    <xf numFmtId="0" fontId="21" fillId="0" borderId="8" xfId="0" applyFont="1" applyBorder="1"/>
    <xf numFmtId="0" fontId="21" fillId="0" borderId="0" xfId="0" applyFont="1"/>
    <xf numFmtId="2" fontId="21" fillId="0" borderId="2" xfId="0" applyNumberFormat="1" applyFont="1" applyBorder="1" applyAlignment="1">
      <alignment horizontal="center"/>
    </xf>
    <xf numFmtId="49" fontId="21" fillId="0" borderId="0" xfId="0" applyNumberFormat="1" applyFont="1" applyAlignment="1">
      <alignment horizontal="justify" vertical="top" wrapText="1"/>
    </xf>
    <xf numFmtId="49" fontId="21" fillId="0" borderId="0" xfId="0" applyNumberFormat="1" applyFont="1" applyAlignment="1">
      <alignment horizontal="center" vertical="top" wrapText="1"/>
    </xf>
    <xf numFmtId="0" fontId="21" fillId="0" borderId="2" xfId="0" applyFont="1" applyBorder="1"/>
    <xf numFmtId="0" fontId="21" fillId="0" borderId="0" xfId="0" applyFont="1" applyBorder="1" applyAlignment="1">
      <alignment horizontal="right"/>
    </xf>
    <xf numFmtId="0" fontId="15" fillId="0" borderId="0" xfId="0" applyFont="1" applyFill="1" applyBorder="1" applyAlignment="1">
      <alignment horizontal="left" vertical="top" wrapText="1"/>
    </xf>
    <xf numFmtId="0" fontId="15" fillId="0" borderId="1" xfId="0" applyFont="1" applyBorder="1" applyAlignment="1">
      <alignment horizontal="right" vertical="top"/>
    </xf>
    <xf numFmtId="43" fontId="19" fillId="0" borderId="1" xfId="1" applyFont="1" applyBorder="1" applyAlignment="1">
      <alignment horizontal="center" vertical="center"/>
    </xf>
    <xf numFmtId="43" fontId="19" fillId="0" borderId="0" xfId="1" applyFont="1" applyBorder="1" applyAlignment="1">
      <alignment horizontal="center" vertical="center" wrapText="1"/>
    </xf>
    <xf numFmtId="43" fontId="19" fillId="0" borderId="0" xfId="1" applyFont="1" applyBorder="1" applyAlignment="1">
      <alignment horizontal="center" vertical="center"/>
    </xf>
    <xf numFmtId="43" fontId="18" fillId="0" borderId="2" xfId="1" applyFont="1" applyBorder="1"/>
    <xf numFmtId="43" fontId="18" fillId="3" borderId="2" xfId="1" applyFont="1" applyFill="1" applyBorder="1"/>
    <xf numFmtId="43" fontId="19" fillId="0" borderId="0" xfId="1" applyFont="1" applyBorder="1" applyAlignment="1">
      <alignment horizontal="right" vertical="center"/>
    </xf>
    <xf numFmtId="43" fontId="18" fillId="0" borderId="0" xfId="1" applyFont="1"/>
    <xf numFmtId="49" fontId="20" fillId="0" borderId="0" xfId="0" applyNumberFormat="1" applyFont="1" applyAlignment="1">
      <alignment horizontal="justify" vertical="top" wrapText="1"/>
    </xf>
    <xf numFmtId="16" fontId="15" fillId="0" borderId="1" xfId="0" applyNumberFormat="1" applyFont="1" applyBorder="1" applyAlignment="1">
      <alignment horizontal="right" vertical="top"/>
    </xf>
    <xf numFmtId="0" fontId="15" fillId="0" borderId="1" xfId="0" applyFont="1" applyBorder="1" applyAlignment="1">
      <alignment horizontal="right" vertical="center"/>
    </xf>
    <xf numFmtId="49" fontId="15" fillId="0" borderId="0" xfId="0" applyNumberFormat="1" applyFont="1" applyBorder="1" applyAlignment="1">
      <alignment horizontal="justify" vertical="top" wrapText="1"/>
    </xf>
    <xf numFmtId="0" fontId="7" fillId="0" borderId="0" xfId="2" applyFill="1" applyBorder="1"/>
    <xf numFmtId="0" fontId="5" fillId="2" borderId="3" xfId="2" applyFont="1" applyFill="1" applyBorder="1" applyAlignment="1">
      <alignment horizontal="center" vertical="center"/>
    </xf>
    <xf numFmtId="0" fontId="5" fillId="2" borderId="4" xfId="2" applyFont="1" applyFill="1" applyBorder="1" applyAlignment="1">
      <alignment horizontal="center" vertical="center"/>
    </xf>
    <xf numFmtId="0" fontId="5" fillId="2" borderId="5" xfId="2" applyFont="1" applyFill="1" applyBorder="1" applyAlignment="1">
      <alignment horizontal="center" vertical="center"/>
    </xf>
    <xf numFmtId="0" fontId="6" fillId="0" borderId="0" xfId="2" applyFont="1" applyBorder="1"/>
    <xf numFmtId="0" fontId="7" fillId="0" borderId="1" xfId="2" applyFont="1" applyFill="1" applyBorder="1" applyAlignment="1">
      <alignment horizontal="center" vertical="top"/>
    </xf>
    <xf numFmtId="49" fontId="7" fillId="0" borderId="0" xfId="2" applyNumberFormat="1" applyFont="1" applyFill="1" applyBorder="1" applyAlignment="1">
      <alignment horizontal="justify" vertical="top" wrapText="1"/>
    </xf>
    <xf numFmtId="49" fontId="7" fillId="0" borderId="0" xfId="2" applyNumberFormat="1" applyFont="1" applyFill="1" applyBorder="1" applyAlignment="1">
      <alignment horizontal="center" vertical="top" wrapText="1"/>
    </xf>
    <xf numFmtId="0" fontId="7" fillId="0" borderId="0" xfId="2" applyFont="1" applyFill="1" applyBorder="1"/>
    <xf numFmtId="0" fontId="7" fillId="0" borderId="0" xfId="2" applyFont="1" applyFill="1" applyBorder="1" applyAlignment="1">
      <alignment horizontal="center"/>
    </xf>
    <xf numFmtId="0" fontId="7" fillId="0" borderId="2" xfId="2" applyFill="1" applyBorder="1"/>
    <xf numFmtId="4" fontId="3" fillId="3" borderId="4" xfId="2" applyNumberFormat="1" applyFont="1" applyFill="1" applyBorder="1" applyAlignment="1">
      <alignment horizontal="left" vertical="center" wrapText="1"/>
    </xf>
    <xf numFmtId="4" fontId="3" fillId="3" borderId="4" xfId="2" applyNumberFormat="1" applyFont="1" applyFill="1" applyBorder="1" applyAlignment="1">
      <alignment horizontal="center" vertical="center" wrapText="1"/>
    </xf>
    <xf numFmtId="0" fontId="7" fillId="3" borderId="13" xfId="2" applyFill="1" applyBorder="1"/>
    <xf numFmtId="0" fontId="7" fillId="0" borderId="1" xfId="2" applyFont="1" applyBorder="1" applyAlignment="1">
      <alignment horizontal="center" vertical="top"/>
    </xf>
    <xf numFmtId="49" fontId="8" fillId="0" borderId="0" xfId="2" applyNumberFormat="1" applyFont="1" applyBorder="1" applyAlignment="1">
      <alignment horizontal="center" vertical="top" wrapText="1"/>
    </xf>
    <xf numFmtId="0" fontId="7" fillId="0" borderId="2" xfId="2" applyBorder="1"/>
    <xf numFmtId="0" fontId="7" fillId="0" borderId="6" xfId="2" applyFont="1" applyBorder="1" applyAlignment="1">
      <alignment horizontal="center" vertical="center"/>
    </xf>
    <xf numFmtId="49" fontId="7" fillId="0" borderId="7" xfId="2" applyNumberFormat="1" applyFont="1" applyBorder="1" applyAlignment="1">
      <alignment horizontal="center" vertical="center" wrapText="1"/>
    </xf>
    <xf numFmtId="49" fontId="7" fillId="0" borderId="7" xfId="2" applyNumberFormat="1" applyFont="1" applyBorder="1" applyAlignment="1">
      <alignment horizontal="center" vertical="center"/>
    </xf>
    <xf numFmtId="0" fontId="7" fillId="3" borderId="14" xfId="2" applyFill="1" applyBorder="1"/>
    <xf numFmtId="0" fontId="7" fillId="0" borderId="8" xfId="2" applyFont="1" applyBorder="1" applyAlignment="1">
      <alignment horizontal="center" vertical="center"/>
    </xf>
    <xf numFmtId="0" fontId="7" fillId="0" borderId="0" xfId="2" applyFont="1" applyBorder="1"/>
    <xf numFmtId="0" fontId="7" fillId="0" borderId="0" xfId="2"/>
    <xf numFmtId="0" fontId="7" fillId="0" borderId="0" xfId="2" applyNumberFormat="1" applyFont="1" applyFill="1" applyBorder="1" applyAlignment="1">
      <alignment horizontal="justify" vertical="top" wrapText="1"/>
    </xf>
    <xf numFmtId="0" fontId="24" fillId="3" borderId="9" xfId="2" applyFont="1" applyFill="1" applyBorder="1"/>
    <xf numFmtId="0" fontId="24" fillId="0" borderId="2" xfId="2" applyFont="1" applyFill="1" applyBorder="1"/>
    <xf numFmtId="0" fontId="24" fillId="0" borderId="0" xfId="2" applyFont="1" applyFill="1"/>
    <xf numFmtId="0" fontId="7" fillId="0" borderId="0" xfId="2" applyFont="1" applyFill="1" applyBorder="1" applyAlignment="1">
      <alignment horizontal="justify" vertical="top" wrapText="1"/>
    </xf>
    <xf numFmtId="0" fontId="16" fillId="0" borderId="0" xfId="2" applyFont="1" applyFill="1" applyBorder="1" applyAlignment="1">
      <alignment horizontal="center" vertical="top" wrapText="1"/>
    </xf>
    <xf numFmtId="4" fontId="16" fillId="4" borderId="0" xfId="2" applyNumberFormat="1" applyFont="1" applyFill="1" applyBorder="1" applyAlignment="1" applyProtection="1">
      <alignment horizontal="right" vertical="top" wrapText="1"/>
      <protection locked="0"/>
    </xf>
    <xf numFmtId="4" fontId="16" fillId="5" borderId="0" xfId="2" applyNumberFormat="1" applyFont="1" applyFill="1" applyBorder="1" applyAlignment="1">
      <alignment horizontal="right" vertical="top" wrapText="1"/>
    </xf>
    <xf numFmtId="4" fontId="16" fillId="0" borderId="2" xfId="2" applyNumberFormat="1" applyFont="1" applyFill="1" applyBorder="1" applyAlignment="1">
      <alignment horizontal="right" vertical="top"/>
    </xf>
    <xf numFmtId="49" fontId="7" fillId="0" borderId="0" xfId="2" applyNumberFormat="1" applyFont="1" applyBorder="1" applyAlignment="1">
      <alignment horizontal="justify" vertical="top" wrapText="1"/>
    </xf>
    <xf numFmtId="49" fontId="16" fillId="0" borderId="1" xfId="2" applyNumberFormat="1" applyFont="1" applyBorder="1" applyAlignment="1">
      <alignment horizontal="center" vertical="top"/>
    </xf>
    <xf numFmtId="0" fontId="16" fillId="0" borderId="0" xfId="2" applyNumberFormat="1" applyFont="1" applyBorder="1" applyAlignment="1">
      <alignment horizontal="justify" vertical="top" wrapText="1"/>
    </xf>
    <xf numFmtId="2" fontId="16" fillId="0" borderId="0" xfId="2" applyNumberFormat="1" applyFont="1" applyBorder="1" applyAlignment="1">
      <alignment horizontal="center"/>
    </xf>
    <xf numFmtId="4" fontId="7" fillId="0" borderId="0" xfId="2" applyNumberFormat="1" applyFont="1" applyFill="1" applyBorder="1" applyAlignment="1"/>
    <xf numFmtId="0" fontId="24" fillId="0" borderId="2" xfId="2" applyFont="1" applyBorder="1"/>
    <xf numFmtId="0" fontId="24" fillId="0" borderId="0" xfId="2" applyFont="1"/>
    <xf numFmtId="0" fontId="7" fillId="0" borderId="6" xfId="2" applyFont="1" applyBorder="1" applyAlignment="1">
      <alignment horizontal="center" vertical="top"/>
    </xf>
    <xf numFmtId="49" fontId="25" fillId="0" borderId="7" xfId="2" applyNumberFormat="1" applyFont="1" applyBorder="1" applyAlignment="1">
      <alignment horizontal="center" vertical="top" wrapText="1"/>
    </xf>
    <xf numFmtId="0" fontId="7" fillId="0" borderId="7" xfId="2" applyFont="1" applyBorder="1" applyAlignment="1">
      <alignment horizontal="center"/>
    </xf>
    <xf numFmtId="0" fontId="7" fillId="0" borderId="8" xfId="2" applyBorder="1"/>
    <xf numFmtId="0" fontId="7" fillId="0" borderId="0" xfId="2" applyFont="1" applyAlignment="1">
      <alignment horizontal="center"/>
    </xf>
    <xf numFmtId="4" fontId="15" fillId="0" borderId="12" xfId="2" applyNumberFormat="1" applyFont="1" applyBorder="1"/>
    <xf numFmtId="0" fontId="7" fillId="0" borderId="0" xfId="2" applyFont="1" applyBorder="1" applyAlignment="1">
      <alignment horizontal="center"/>
    </xf>
    <xf numFmtId="49" fontId="8" fillId="0" borderId="0" xfId="2" applyNumberFormat="1" applyFont="1" applyBorder="1" applyAlignment="1">
      <alignment horizontal="justify" vertical="top" wrapText="1"/>
    </xf>
    <xf numFmtId="49" fontId="25" fillId="0" borderId="0" xfId="2" applyNumberFormat="1" applyFont="1" applyBorder="1" applyAlignment="1">
      <alignment horizontal="center" vertical="top" wrapText="1"/>
    </xf>
    <xf numFmtId="49" fontId="7" fillId="0" borderId="0" xfId="2" applyNumberFormat="1" applyFont="1" applyBorder="1" applyAlignment="1">
      <alignment horizontal="center" vertical="top" wrapText="1"/>
    </xf>
    <xf numFmtId="0" fontId="7" fillId="0" borderId="1" xfId="2" applyBorder="1" applyAlignment="1">
      <alignment horizontal="center" vertical="top"/>
    </xf>
    <xf numFmtId="49" fontId="7" fillId="0" borderId="0" xfId="2" applyNumberFormat="1" applyBorder="1" applyAlignment="1">
      <alignment horizontal="justify" vertical="top" wrapText="1"/>
    </xf>
    <xf numFmtId="49" fontId="7" fillId="0" borderId="0" xfId="2" applyNumberFormat="1" applyBorder="1" applyAlignment="1">
      <alignment horizontal="center" vertical="top" wrapText="1"/>
    </xf>
    <xf numFmtId="49" fontId="7" fillId="0" borderId="0" xfId="2" applyNumberFormat="1" applyAlignment="1">
      <alignment horizontal="justify" vertical="top" wrapText="1"/>
    </xf>
    <xf numFmtId="49" fontId="7" fillId="0" borderId="0" xfId="2" applyNumberFormat="1" applyAlignment="1">
      <alignment horizontal="center" vertical="top" wrapText="1"/>
    </xf>
    <xf numFmtId="0" fontId="15" fillId="0" borderId="1" xfId="2" applyFont="1" applyBorder="1" applyAlignment="1">
      <alignment horizontal="right" vertical="top"/>
    </xf>
    <xf numFmtId="49" fontId="26" fillId="0" borderId="1" xfId="2" applyNumberFormat="1" applyFont="1" applyFill="1" applyBorder="1" applyAlignment="1">
      <alignment horizontal="left" vertical="top"/>
    </xf>
    <xf numFmtId="0" fontId="7" fillId="0" borderId="0" xfId="2" applyFont="1" applyFill="1" applyBorder="1" applyAlignment="1">
      <alignment horizontal="justify" vertical="top"/>
    </xf>
    <xf numFmtId="164" fontId="7" fillId="0" borderId="0" xfId="2" applyNumberFormat="1" applyFont="1" applyBorder="1" applyAlignment="1">
      <alignment horizontal="center"/>
    </xf>
    <xf numFmtId="0" fontId="7" fillId="3" borderId="9" xfId="2" applyFont="1" applyFill="1" applyBorder="1"/>
    <xf numFmtId="164" fontId="27" fillId="0" borderId="0" xfId="2" applyNumberFormat="1" applyFont="1" applyFill="1" applyBorder="1" applyAlignment="1" applyProtection="1">
      <alignment horizontal="right"/>
      <protection locked="0"/>
    </xf>
    <xf numFmtId="0" fontId="7" fillId="0" borderId="2" xfId="2" applyFont="1" applyFill="1" applyBorder="1"/>
    <xf numFmtId="0" fontId="7" fillId="0" borderId="0" xfId="2" applyFont="1" applyFill="1" applyBorder="1" applyAlignment="1">
      <alignment horizontal="left" vertical="top" wrapText="1"/>
    </xf>
    <xf numFmtId="4" fontId="7" fillId="0" borderId="0" xfId="3" applyNumberFormat="1" applyFont="1" applyFill="1" applyBorder="1" applyAlignment="1">
      <alignment horizontal="right"/>
    </xf>
    <xf numFmtId="4" fontId="7" fillId="0" borderId="0" xfId="3" applyNumberFormat="1" applyFont="1" applyFill="1" applyBorder="1" applyAlignment="1">
      <alignment horizontal="center"/>
    </xf>
    <xf numFmtId="0" fontId="27" fillId="0" borderId="0" xfId="2" applyFont="1" applyFill="1" applyBorder="1" applyAlignment="1">
      <alignment horizontal="justify" vertical="top"/>
    </xf>
    <xf numFmtId="16" fontId="7" fillId="0" borderId="1" xfId="2" applyNumberFormat="1" applyFont="1" applyBorder="1" applyAlignment="1">
      <alignment horizontal="center" vertical="top"/>
    </xf>
    <xf numFmtId="0" fontId="28" fillId="0" borderId="1" xfId="2" applyFont="1" applyFill="1" applyBorder="1" applyAlignment="1">
      <alignment horizontal="right" vertical="top"/>
    </xf>
    <xf numFmtId="4" fontId="16" fillId="4" borderId="2" xfId="0" applyNumberFormat="1" applyFont="1" applyFill="1" applyBorder="1" applyAlignment="1">
      <alignment horizontal="right" vertical="top" wrapText="1"/>
    </xf>
    <xf numFmtId="0" fontId="15" fillId="0" borderId="0" xfId="0" applyFont="1" applyFill="1" applyBorder="1" applyAlignment="1">
      <alignment horizontal="justify" vertical="top" wrapText="1"/>
    </xf>
    <xf numFmtId="4" fontId="7" fillId="0" borderId="0" xfId="2" applyNumberFormat="1" applyFont="1" applyBorder="1"/>
    <xf numFmtId="0" fontId="17" fillId="0" borderId="0" xfId="0" applyFont="1" applyFill="1" applyBorder="1" applyAlignment="1">
      <alignment horizontal="center" vertical="top" wrapText="1"/>
    </xf>
    <xf numFmtId="0" fontId="0" fillId="0" borderId="0" xfId="0" applyAlignment="1">
      <alignment horizontal="right"/>
    </xf>
    <xf numFmtId="0" fontId="7" fillId="0" borderId="0" xfId="0" quotePrefix="1" applyFont="1" applyFill="1" applyBorder="1" applyAlignment="1">
      <alignment horizontal="left" vertical="top" wrapText="1"/>
    </xf>
    <xf numFmtId="0" fontId="16" fillId="0" borderId="0" xfId="2" applyFont="1" applyFill="1" applyBorder="1" applyAlignment="1">
      <alignment horizontal="center" wrapText="1"/>
    </xf>
    <xf numFmtId="0" fontId="0" fillId="0" borderId="0" xfId="0"/>
    <xf numFmtId="4" fontId="16" fillId="0" borderId="2" xfId="2" applyNumberFormat="1" applyFont="1" applyFill="1" applyBorder="1" applyAlignment="1">
      <alignment horizontal="right"/>
    </xf>
    <xf numFmtId="4" fontId="30" fillId="3" borderId="4" xfId="2" applyNumberFormat="1" applyFont="1" applyFill="1" applyBorder="1" applyAlignment="1">
      <alignment horizontal="center" vertical="center" wrapText="1"/>
    </xf>
    <xf numFmtId="4" fontId="7" fillId="0" borderId="0" xfId="2" applyNumberFormat="1" applyFont="1" applyFill="1" applyBorder="1" applyAlignment="1" applyProtection="1">
      <alignment horizontal="right" vertical="top" wrapText="1"/>
      <protection locked="0"/>
    </xf>
    <xf numFmtId="4" fontId="7" fillId="4" borderId="0" xfId="2" applyNumberFormat="1" applyFont="1" applyFill="1" applyBorder="1" applyAlignment="1" applyProtection="1">
      <alignment horizontal="right" vertical="top" wrapText="1"/>
      <protection locked="0"/>
    </xf>
    <xf numFmtId="4" fontId="7" fillId="0" borderId="0" xfId="2" applyNumberFormat="1" applyFont="1" applyFill="1" applyBorder="1"/>
    <xf numFmtId="4" fontId="5" fillId="2" borderId="4" xfId="2" applyNumberFormat="1" applyFont="1" applyFill="1" applyBorder="1" applyAlignment="1">
      <alignment horizontal="center" vertical="center"/>
    </xf>
    <xf numFmtId="4" fontId="7" fillId="0" borderId="7" xfId="2" applyNumberFormat="1" applyFont="1" applyBorder="1" applyAlignment="1">
      <alignment horizontal="center" vertical="center"/>
    </xf>
    <xf numFmtId="4" fontId="7" fillId="4" borderId="0" xfId="2" applyNumberFormat="1" applyFont="1" applyFill="1" applyBorder="1"/>
    <xf numFmtId="4" fontId="7" fillId="0" borderId="7" xfId="2" applyNumberFormat="1" applyFont="1" applyBorder="1"/>
    <xf numFmtId="4" fontId="7" fillId="0" borderId="0" xfId="2" applyNumberFormat="1" applyFont="1" applyFill="1" applyBorder="1" applyAlignment="1">
      <alignment horizontal="right" vertical="top" wrapText="1"/>
    </xf>
    <xf numFmtId="4" fontId="7" fillId="5" borderId="0" xfId="2" applyNumberFormat="1" applyFont="1" applyFill="1" applyBorder="1" applyAlignment="1">
      <alignment horizontal="right" vertical="top" wrapText="1"/>
    </xf>
    <xf numFmtId="4" fontId="16" fillId="0" borderId="2" xfId="0" applyNumberFormat="1" applyFont="1" applyFill="1" applyBorder="1" applyAlignment="1" applyProtection="1">
      <alignment horizontal="right" vertical="top" wrapText="1"/>
      <protection locked="0"/>
    </xf>
    <xf numFmtId="49" fontId="18" fillId="0" borderId="0" xfId="0" applyNumberFormat="1" applyFont="1" applyAlignment="1">
      <alignment horizontal="justify" vertical="top" wrapText="1"/>
    </xf>
    <xf numFmtId="4" fontId="11" fillId="0" borderId="2" xfId="0" applyNumberFormat="1" applyFont="1" applyBorder="1" applyAlignment="1">
      <alignment horizontal="justify" wrapText="1"/>
    </xf>
    <xf numFmtId="49" fontId="7" fillId="0" borderId="11" xfId="0" applyNumberFormat="1" applyFont="1" applyFill="1" applyBorder="1" applyAlignment="1">
      <alignment horizontal="left" vertical="top" wrapText="1"/>
    </xf>
    <xf numFmtId="0" fontId="7" fillId="0" borderId="10" xfId="0" applyFont="1" applyBorder="1" applyAlignment="1">
      <alignment horizontal="center" vertical="top" wrapText="1"/>
    </xf>
    <xf numFmtId="0" fontId="0" fillId="3" borderId="12" xfId="0" applyFill="1" applyBorder="1" applyAlignment="1">
      <alignment wrapText="1"/>
    </xf>
    <xf numFmtId="4" fontId="16" fillId="0" borderId="12" xfId="0" applyNumberFormat="1" applyFont="1" applyFill="1" applyBorder="1" applyAlignment="1">
      <alignment horizontal="right" vertical="top" wrapText="1"/>
    </xf>
    <xf numFmtId="0" fontId="0" fillId="0" borderId="0" xfId="0" applyAlignment="1">
      <alignment wrapText="1"/>
    </xf>
    <xf numFmtId="49" fontId="7" fillId="0" borderId="0" xfId="0" applyNumberFormat="1" applyFont="1" applyBorder="1" applyAlignment="1">
      <alignment horizontal="center" vertical="top" wrapText="1"/>
    </xf>
    <xf numFmtId="49" fontId="21" fillId="0" borderId="0" xfId="0" applyNumberFormat="1" applyFont="1" applyBorder="1" applyAlignment="1">
      <alignment horizontal="justify" vertical="top" wrapText="1"/>
    </xf>
    <xf numFmtId="49" fontId="21" fillId="0" borderId="0" xfId="0" applyNumberFormat="1" applyFont="1" applyBorder="1" applyAlignment="1">
      <alignment horizontal="center" vertical="top" wrapText="1"/>
    </xf>
    <xf numFmtId="0" fontId="32" fillId="0" borderId="0" xfId="5" applyFont="1" applyFill="1" applyBorder="1" applyAlignment="1" applyProtection="1">
      <alignment vertical="top" wrapText="1"/>
      <protection locked="0"/>
    </xf>
    <xf numFmtId="0" fontId="7" fillId="0" borderId="0" xfId="5" applyFont="1" applyFill="1" applyBorder="1" applyAlignment="1" applyProtection="1">
      <alignment vertical="top" wrapText="1"/>
      <protection locked="0"/>
    </xf>
    <xf numFmtId="4" fontId="7" fillId="0" borderId="0" xfId="5" applyNumberFormat="1" applyFont="1" applyFill="1" applyBorder="1" applyAlignment="1">
      <alignment vertical="top" wrapText="1"/>
    </xf>
    <xf numFmtId="0" fontId="7" fillId="0" borderId="0" xfId="5" applyFont="1" applyFill="1" applyBorder="1" applyAlignment="1">
      <alignment vertical="top" wrapText="1"/>
    </xf>
    <xf numFmtId="0" fontId="16" fillId="0" borderId="0" xfId="0" applyFont="1" applyFill="1" applyBorder="1" applyAlignment="1">
      <alignment horizontal="center" wrapText="1"/>
    </xf>
    <xf numFmtId="4" fontId="32" fillId="0" borderId="0" xfId="5" applyNumberFormat="1" applyFont="1" applyFill="1" applyBorder="1" applyAlignment="1">
      <alignment vertical="top" wrapText="1"/>
    </xf>
    <xf numFmtId="4" fontId="16" fillId="0" borderId="2" xfId="0" applyNumberFormat="1" applyFont="1" applyFill="1" applyBorder="1" applyAlignment="1">
      <alignment horizontal="right"/>
    </xf>
    <xf numFmtId="4" fontId="16" fillId="0" borderId="2" xfId="0" applyNumberFormat="1" applyFont="1" applyFill="1" applyBorder="1" applyAlignment="1" applyProtection="1">
      <alignment horizontal="right" wrapText="1"/>
      <protection locked="0"/>
    </xf>
    <xf numFmtId="4" fontId="7" fillId="0" borderId="2" xfId="0" applyNumberFormat="1" applyFont="1" applyFill="1" applyBorder="1" applyAlignment="1">
      <alignment horizontal="right" vertical="top"/>
    </xf>
    <xf numFmtId="0" fontId="7" fillId="0" borderId="1" xfId="0" applyFont="1" applyBorder="1" applyAlignment="1">
      <alignment horizontal="center" vertical="top" wrapText="1"/>
    </xf>
    <xf numFmtId="49" fontId="7" fillId="0" borderId="0" xfId="0" applyNumberFormat="1" applyFont="1" applyFill="1" applyBorder="1" applyAlignment="1">
      <alignment horizontal="left" vertical="top" wrapText="1"/>
    </xf>
    <xf numFmtId="0" fontId="0" fillId="3" borderId="2" xfId="0" applyFill="1" applyBorder="1" applyAlignment="1">
      <alignment wrapText="1"/>
    </xf>
    <xf numFmtId="4" fontId="16" fillId="0" borderId="2" xfId="0" applyNumberFormat="1" applyFont="1" applyFill="1" applyBorder="1" applyAlignment="1">
      <alignment horizontal="right" vertical="top" wrapText="1"/>
    </xf>
    <xf numFmtId="4" fontId="3" fillId="3" borderId="1" xfId="0" applyNumberFormat="1" applyFont="1" applyFill="1" applyBorder="1" applyAlignment="1">
      <alignment horizontal="center" vertical="center" wrapText="1"/>
    </xf>
    <xf numFmtId="4" fontId="3" fillId="3" borderId="2" xfId="0" applyNumberFormat="1" applyFont="1" applyFill="1" applyBorder="1" applyAlignment="1">
      <alignment horizontal="center" vertical="center" wrapText="1"/>
    </xf>
    <xf numFmtId="0" fontId="11" fillId="0" borderId="1" xfId="0" applyFont="1" applyBorder="1" applyAlignment="1">
      <alignment horizontal="justify" vertical="top" wrapText="1"/>
    </xf>
    <xf numFmtId="0" fontId="11" fillId="0" borderId="0" xfId="0" applyFont="1" applyBorder="1" applyAlignment="1">
      <alignment horizontal="justify" vertical="top" wrapText="1"/>
    </xf>
    <xf numFmtId="4" fontId="3" fillId="3" borderId="3" xfId="2" applyNumberFormat="1" applyFont="1" applyFill="1" applyBorder="1" applyAlignment="1">
      <alignment horizontal="center" vertical="center" wrapText="1"/>
    </xf>
    <xf numFmtId="4" fontId="16" fillId="6" borderId="2" xfId="0" applyNumberFormat="1" applyFont="1" applyFill="1" applyBorder="1" applyAlignment="1" applyProtection="1">
      <alignment horizontal="right" vertical="top" wrapText="1"/>
      <protection locked="0"/>
    </xf>
    <xf numFmtId="49" fontId="7" fillId="0" borderId="7" xfId="2" applyNumberFormat="1" applyFont="1" applyBorder="1" applyAlignment="1">
      <alignment horizontal="left" vertical="top"/>
    </xf>
    <xf numFmtId="0" fontId="15" fillId="0" borderId="1" xfId="0" applyFont="1" applyFill="1" applyBorder="1" applyAlignment="1">
      <alignment horizontal="center" vertical="center"/>
    </xf>
    <xf numFmtId="0" fontId="15" fillId="2" borderId="3" xfId="0" applyFont="1" applyFill="1" applyBorder="1" applyAlignment="1">
      <alignment horizontal="center" vertical="center"/>
    </xf>
    <xf numFmtId="4" fontId="33" fillId="3" borderId="1" xfId="0" applyNumberFormat="1" applyFont="1" applyFill="1" applyBorder="1" applyAlignment="1">
      <alignment horizontal="center" vertical="center" wrapText="1"/>
    </xf>
    <xf numFmtId="0" fontId="34" fillId="0" borderId="1" xfId="0" applyFont="1" applyBorder="1"/>
    <xf numFmtId="0" fontId="7" fillId="0" borderId="1" xfId="0" applyFont="1" applyBorder="1" applyAlignment="1">
      <alignment horizontal="justify" vertical="top" wrapText="1"/>
    </xf>
    <xf numFmtId="4" fontId="33" fillId="3" borderId="1" xfId="2" applyNumberFormat="1" applyFont="1" applyFill="1" applyBorder="1" applyAlignment="1">
      <alignment horizontal="center" vertical="center" wrapText="1"/>
    </xf>
    <xf numFmtId="0" fontId="35" fillId="0" borderId="1" xfId="0" applyFont="1" applyBorder="1" applyAlignment="1">
      <alignment horizontal="center" vertical="top"/>
    </xf>
    <xf numFmtId="4" fontId="3" fillId="3" borderId="1" xfId="0" applyNumberFormat="1" applyFont="1" applyFill="1" applyBorder="1" applyAlignment="1">
      <alignment horizontal="center" vertical="center" wrapText="1"/>
    </xf>
    <xf numFmtId="4" fontId="3" fillId="3" borderId="2" xfId="0" applyNumberFormat="1" applyFont="1" applyFill="1" applyBorder="1" applyAlignment="1">
      <alignment horizontal="center" vertical="center" wrapText="1"/>
    </xf>
    <xf numFmtId="0" fontId="11" fillId="0" borderId="1" xfId="0" applyFont="1" applyBorder="1" applyAlignment="1">
      <alignment horizontal="justify" vertical="top" wrapText="1"/>
    </xf>
    <xf numFmtId="0" fontId="5" fillId="0" borderId="0" xfId="0" applyFont="1" applyFill="1" applyBorder="1" applyAlignment="1">
      <alignment horizontal="center"/>
    </xf>
    <xf numFmtId="0" fontId="5" fillId="2" borderId="4" xfId="0" applyFont="1" applyFill="1" applyBorder="1" applyAlignment="1">
      <alignment horizontal="center"/>
    </xf>
    <xf numFmtId="4" fontId="3" fillId="3" borderId="0" xfId="0" applyNumberFormat="1" applyFont="1" applyFill="1" applyBorder="1" applyAlignment="1">
      <alignment horizontal="center" wrapText="1"/>
    </xf>
    <xf numFmtId="49" fontId="8" fillId="0" borderId="0" xfId="0" applyNumberFormat="1" applyFont="1" applyBorder="1" applyAlignment="1">
      <alignment horizontal="center" wrapText="1"/>
    </xf>
    <xf numFmtId="49" fontId="7" fillId="0" borderId="7" xfId="0" applyNumberFormat="1" applyFont="1" applyBorder="1" applyAlignment="1">
      <alignment horizontal="center"/>
    </xf>
    <xf numFmtId="4" fontId="3" fillId="3" borderId="0" xfId="2" applyNumberFormat="1" applyFont="1" applyFill="1" applyBorder="1" applyAlignment="1">
      <alignment horizontal="center" wrapText="1"/>
    </xf>
    <xf numFmtId="49" fontId="7" fillId="0" borderId="0" xfId="0" applyNumberFormat="1" applyFont="1" applyBorder="1" applyAlignment="1">
      <alignment horizontal="center"/>
    </xf>
    <xf numFmtId="0" fontId="16" fillId="0" borderId="11" xfId="0" applyFont="1" applyFill="1" applyBorder="1" applyAlignment="1">
      <alignment horizontal="center" wrapText="1"/>
    </xf>
    <xf numFmtId="49" fontId="7" fillId="0" borderId="7" xfId="0" applyNumberFormat="1" applyFont="1" applyBorder="1" applyAlignment="1">
      <alignment horizontal="center" wrapText="1"/>
    </xf>
    <xf numFmtId="49" fontId="0" fillId="0" borderId="0" xfId="0" applyNumberFormat="1" applyAlignment="1">
      <alignment horizontal="center" wrapText="1"/>
    </xf>
    <xf numFmtId="0" fontId="5" fillId="0" borderId="2" xfId="0" applyFont="1" applyFill="1" applyBorder="1" applyAlignment="1">
      <alignment horizontal="center"/>
    </xf>
    <xf numFmtId="0" fontId="5" fillId="2" borderId="5" xfId="0" applyFont="1" applyFill="1" applyBorder="1" applyAlignment="1">
      <alignment horizontal="center"/>
    </xf>
    <xf numFmtId="0" fontId="0" fillId="0" borderId="2" xfId="0" applyBorder="1" applyAlignment="1"/>
    <xf numFmtId="0" fontId="7" fillId="0" borderId="8" xfId="0" applyFont="1" applyBorder="1" applyAlignment="1">
      <alignment horizontal="center"/>
    </xf>
    <xf numFmtId="0" fontId="11" fillId="0" borderId="2" xfId="0" applyFont="1" applyBorder="1" applyAlignment="1"/>
    <xf numFmtId="0" fontId="11" fillId="0" borderId="2" xfId="0" applyFont="1" applyBorder="1" applyAlignment="1">
      <alignment horizontal="justify" wrapText="1"/>
    </xf>
    <xf numFmtId="4" fontId="3" fillId="3" borderId="2" xfId="2" applyNumberFormat="1" applyFont="1" applyFill="1" applyBorder="1" applyAlignment="1">
      <alignment horizontal="center" wrapText="1"/>
    </xf>
    <xf numFmtId="0" fontId="7" fillId="0" borderId="2" xfId="0" applyFont="1" applyBorder="1" applyAlignment="1">
      <alignment horizontal="center"/>
    </xf>
    <xf numFmtId="4" fontId="16" fillId="0" borderId="12" xfId="0" applyNumberFormat="1" applyFont="1" applyFill="1" applyBorder="1" applyAlignment="1">
      <alignment horizontal="right"/>
    </xf>
    <xf numFmtId="0" fontId="21" fillId="0" borderId="8" xfId="0" applyFont="1" applyBorder="1" applyAlignment="1"/>
    <xf numFmtId="4" fontId="15" fillId="0" borderId="2" xfId="0" applyNumberFormat="1" applyFont="1" applyFill="1" applyBorder="1" applyAlignment="1">
      <alignment horizontal="right"/>
    </xf>
    <xf numFmtId="4" fontId="7" fillId="0" borderId="2" xfId="0" applyNumberFormat="1" applyFont="1" applyBorder="1" applyAlignment="1">
      <alignment horizontal="center" vertical="center"/>
    </xf>
    <xf numFmtId="0" fontId="0" fillId="0" borderId="6" xfId="0" applyBorder="1" applyAlignment="1">
      <alignment horizontal="center" vertical="top"/>
    </xf>
    <xf numFmtId="49" fontId="0" fillId="0" borderId="7" xfId="0" applyNumberFormat="1" applyBorder="1" applyAlignment="1">
      <alignment horizontal="center" vertical="top" wrapText="1"/>
    </xf>
    <xf numFmtId="0" fontId="0" fillId="0" borderId="8" xfId="0" applyBorder="1"/>
    <xf numFmtId="0" fontId="0" fillId="0" borderId="7" xfId="0" applyBorder="1" applyAlignment="1">
      <alignment horizontal="right"/>
    </xf>
    <xf numFmtId="49" fontId="0" fillId="0" borderId="7" xfId="0" applyNumberFormat="1" applyBorder="1" applyAlignment="1">
      <alignment horizontal="justify" vertical="top" wrapText="1"/>
    </xf>
    <xf numFmtId="0" fontId="0" fillId="0" borderId="3" xfId="0" applyBorder="1" applyAlignment="1">
      <alignment horizontal="center" vertical="top"/>
    </xf>
    <xf numFmtId="49" fontId="36" fillId="0" borderId="4" xfId="0" applyNumberFormat="1" applyFont="1" applyBorder="1" applyAlignment="1">
      <alignment horizontal="justify" vertical="top" wrapText="1"/>
    </xf>
    <xf numFmtId="49" fontId="0" fillId="0" borderId="4" xfId="0" applyNumberFormat="1" applyBorder="1" applyAlignment="1">
      <alignment horizontal="center" vertical="top" wrapText="1"/>
    </xf>
    <xf numFmtId="0" fontId="0" fillId="0" borderId="5" xfId="0" applyBorder="1"/>
    <xf numFmtId="0" fontId="0" fillId="3" borderId="5" xfId="0" applyFill="1" applyBorder="1"/>
    <xf numFmtId="0" fontId="0" fillId="0" borderId="4" xfId="0" applyBorder="1" applyAlignment="1">
      <alignment horizontal="right"/>
    </xf>
    <xf numFmtId="4" fontId="15" fillId="0" borderId="5" xfId="0" applyNumberFormat="1" applyFont="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4" fontId="15" fillId="0" borderId="8" xfId="0" applyNumberFormat="1" applyFont="1" applyFill="1" applyBorder="1" applyAlignment="1">
      <alignment horizontal="right" vertical="top"/>
    </xf>
    <xf numFmtId="0" fontId="21" fillId="0" borderId="6" xfId="0" applyFont="1" applyBorder="1" applyAlignment="1">
      <alignment horizontal="center" vertical="top"/>
    </xf>
    <xf numFmtId="49" fontId="21" fillId="0" borderId="7" xfId="0" applyNumberFormat="1" applyFont="1" applyBorder="1" applyAlignment="1">
      <alignment horizontal="justify" vertical="top" wrapText="1"/>
    </xf>
    <xf numFmtId="49" fontId="21" fillId="0" borderId="7" xfId="0" applyNumberFormat="1" applyFont="1" applyBorder="1" applyAlignment="1">
      <alignment horizontal="center" vertical="top" wrapText="1"/>
    </xf>
    <xf numFmtId="0" fontId="21" fillId="0" borderId="7" xfId="0" applyFont="1" applyBorder="1" applyAlignment="1">
      <alignment horizontal="right"/>
    </xf>
    <xf numFmtId="49" fontId="8" fillId="0" borderId="11" xfId="0" applyNumberFormat="1" applyFont="1" applyBorder="1" applyAlignment="1">
      <alignment horizontal="center" vertical="top" wrapText="1"/>
    </xf>
    <xf numFmtId="0" fontId="0" fillId="0" borderId="12" xfId="0" applyBorder="1"/>
    <xf numFmtId="0" fontId="0" fillId="0" borderId="11" xfId="0" applyBorder="1"/>
    <xf numFmtId="0" fontId="7" fillId="0" borderId="10" xfId="2" applyFill="1" applyBorder="1" applyAlignment="1">
      <alignment horizontal="center" vertical="top"/>
    </xf>
    <xf numFmtId="49" fontId="7" fillId="0" borderId="11" xfId="2" applyNumberFormat="1" applyFill="1" applyBorder="1" applyAlignment="1">
      <alignment horizontal="justify" vertical="top" wrapText="1"/>
    </xf>
    <xf numFmtId="49" fontId="7" fillId="0" borderId="11" xfId="2" applyNumberFormat="1" applyFill="1" applyBorder="1" applyAlignment="1">
      <alignment horizontal="center" vertical="top" wrapText="1"/>
    </xf>
    <xf numFmtId="4" fontId="7" fillId="0" borderId="11" xfId="2" applyNumberFormat="1" applyFont="1" applyFill="1" applyBorder="1"/>
    <xf numFmtId="0" fontId="7" fillId="0" borderId="11" xfId="2" applyFill="1" applyBorder="1"/>
    <xf numFmtId="0" fontId="7" fillId="0" borderId="11" xfId="2" applyFont="1" applyFill="1" applyBorder="1" applyAlignment="1">
      <alignment horizontal="center"/>
    </xf>
    <xf numFmtId="0" fontId="7" fillId="0" borderId="12" xfId="2" applyFill="1" applyBorder="1"/>
    <xf numFmtId="49" fontId="7" fillId="0" borderId="7" xfId="2" applyNumberFormat="1" applyFont="1" applyBorder="1" applyAlignment="1">
      <alignment horizontal="left" vertical="top" wrapText="1" indent="1"/>
    </xf>
    <xf numFmtId="49" fontId="7" fillId="0" borderId="7" xfId="2" applyNumberFormat="1" applyFont="1" applyBorder="1" applyAlignment="1">
      <alignment horizontal="center" vertical="top" wrapText="1"/>
    </xf>
    <xf numFmtId="0" fontId="15" fillId="0" borderId="10" xfId="0" applyFont="1" applyFill="1" applyBorder="1" applyAlignment="1">
      <alignment horizontal="center" vertical="center"/>
    </xf>
    <xf numFmtId="0" fontId="7" fillId="0" borderId="6" xfId="0" applyFont="1" applyBorder="1" applyAlignment="1">
      <alignment horizontal="center" vertical="top"/>
    </xf>
    <xf numFmtId="0" fontId="5" fillId="0" borderId="11" xfId="0" applyFont="1" applyFill="1" applyBorder="1" applyAlignment="1">
      <alignment horizontal="center"/>
    </xf>
    <xf numFmtId="0" fontId="5" fillId="0" borderId="12" xfId="0" applyFont="1" applyFill="1" applyBorder="1" applyAlignment="1">
      <alignment horizontal="center"/>
    </xf>
    <xf numFmtId="49" fontId="7" fillId="0" borderId="0" xfId="0" applyNumberFormat="1" applyFont="1" applyBorder="1" applyAlignment="1">
      <alignment horizontal="center" wrapText="1"/>
    </xf>
    <xf numFmtId="49" fontId="21" fillId="0" borderId="7" xfId="0" applyNumberFormat="1" applyFont="1" applyBorder="1" applyAlignment="1">
      <alignment horizontal="center" wrapText="1"/>
    </xf>
    <xf numFmtId="0" fontId="7" fillId="6" borderId="0" xfId="0" applyFont="1" applyFill="1" applyBorder="1" applyAlignment="1">
      <alignment horizontal="right"/>
    </xf>
    <xf numFmtId="4" fontId="7" fillId="6" borderId="2" xfId="0" applyNumberFormat="1" applyFont="1" applyFill="1" applyBorder="1" applyAlignment="1">
      <alignment horizontal="center" vertical="center"/>
    </xf>
    <xf numFmtId="16" fontId="7" fillId="6" borderId="1" xfId="0" applyNumberFormat="1" applyFont="1" applyFill="1" applyBorder="1" applyAlignment="1">
      <alignment horizontal="center" vertical="top"/>
    </xf>
    <xf numFmtId="0" fontId="15" fillId="6" borderId="0" xfId="0" applyNumberFormat="1" applyFont="1" applyFill="1" applyBorder="1" applyAlignment="1" applyProtection="1">
      <alignment horizontal="left" vertical="top" wrapText="1"/>
    </xf>
    <xf numFmtId="2" fontId="21" fillId="6" borderId="2" xfId="0" applyNumberFormat="1" applyFont="1" applyFill="1" applyBorder="1" applyAlignment="1">
      <alignment horizontal="center"/>
    </xf>
    <xf numFmtId="49" fontId="7" fillId="6" borderId="0" xfId="0" applyNumberFormat="1" applyFont="1" applyFill="1" applyBorder="1" applyAlignment="1">
      <alignment horizontal="center" vertical="top" wrapText="1"/>
    </xf>
    <xf numFmtId="49" fontId="36" fillId="0" borderId="0" xfId="0" applyNumberFormat="1" applyFont="1" applyBorder="1" applyAlignment="1">
      <alignment horizontal="right" vertical="top" wrapText="1"/>
    </xf>
    <xf numFmtId="49" fontId="0" fillId="0" borderId="0" xfId="0" applyNumberFormat="1" applyBorder="1" applyAlignment="1">
      <alignment horizontal="center" vertical="top" wrapText="1"/>
    </xf>
    <xf numFmtId="0" fontId="18" fillId="0" borderId="0" xfId="0" applyFont="1" applyBorder="1"/>
    <xf numFmtId="0" fontId="37" fillId="0" borderId="0" xfId="0" applyFont="1" applyAlignment="1" applyProtection="1">
      <alignment horizontal="left" vertical="top"/>
    </xf>
    <xf numFmtId="0" fontId="37" fillId="0" borderId="0" xfId="0" applyFont="1" applyAlignment="1" applyProtection="1">
      <alignment vertical="top" wrapText="1"/>
    </xf>
    <xf numFmtId="4" fontId="38" fillId="0" borderId="0" xfId="0" applyNumberFormat="1" applyFont="1" applyFill="1" applyAlignment="1" applyProtection="1">
      <alignment vertical="top" wrapText="1"/>
    </xf>
    <xf numFmtId="0" fontId="38" fillId="0" borderId="0" xfId="0" applyFont="1" applyAlignment="1" applyProtection="1">
      <alignment vertical="center"/>
    </xf>
    <xf numFmtId="0" fontId="0" fillId="0" borderId="0" xfId="0" applyProtection="1"/>
    <xf numFmtId="0" fontId="38" fillId="0" borderId="0" xfId="0" applyFont="1" applyProtection="1"/>
    <xf numFmtId="0" fontId="37" fillId="0" borderId="0" xfId="0" applyFont="1" applyFill="1" applyAlignment="1" applyProtection="1">
      <alignment horizontal="center" wrapText="1"/>
    </xf>
    <xf numFmtId="4" fontId="37" fillId="0" borderId="0" xfId="0" applyNumberFormat="1" applyFont="1" applyFill="1" applyProtection="1"/>
    <xf numFmtId="4" fontId="38" fillId="0" borderId="0" xfId="0" applyNumberFormat="1" applyFont="1" applyFill="1" applyAlignment="1" applyProtection="1">
      <alignment vertical="center"/>
    </xf>
    <xf numFmtId="0" fontId="37" fillId="0" borderId="0" xfId="0" applyFont="1" applyAlignment="1" applyProtection="1">
      <alignment wrapText="1"/>
    </xf>
    <xf numFmtId="4" fontId="38" fillId="0" borderId="0" xfId="0" applyNumberFormat="1" applyFont="1" applyFill="1" applyAlignment="1" applyProtection="1">
      <alignment horizontal="left" vertical="center"/>
    </xf>
    <xf numFmtId="0" fontId="39" fillId="0" borderId="0" xfId="0" applyFont="1" applyAlignment="1" applyProtection="1">
      <alignment vertical="center"/>
    </xf>
    <xf numFmtId="0" fontId="37" fillId="0" borderId="0" xfId="0" applyFont="1" applyProtection="1"/>
    <xf numFmtId="0" fontId="40" fillId="0" borderId="0" xfId="7" applyAlignment="1" applyProtection="1">
      <alignment vertical="center"/>
    </xf>
    <xf numFmtId="49" fontId="38" fillId="0" borderId="0" xfId="0" applyNumberFormat="1" applyFont="1" applyFill="1" applyAlignment="1" applyProtection="1">
      <alignment vertical="center"/>
    </xf>
    <xf numFmtId="0" fontId="37" fillId="0" borderId="0" xfId="0" applyFont="1" applyAlignment="1" applyProtection="1">
      <alignment vertical="center"/>
    </xf>
    <xf numFmtId="0" fontId="39" fillId="0" borderId="0" xfId="0" applyFont="1" applyProtection="1"/>
    <xf numFmtId="0" fontId="41" fillId="0" borderId="0" xfId="0" applyFont="1" applyProtection="1"/>
    <xf numFmtId="4" fontId="41" fillId="0" borderId="0" xfId="0" applyNumberFormat="1" applyFont="1" applyFill="1" applyAlignment="1" applyProtection="1">
      <alignment vertical="center"/>
    </xf>
    <xf numFmtId="0" fontId="42" fillId="0" borderId="0" xfId="0" applyFont="1" applyAlignment="1" applyProtection="1">
      <alignment horizontal="left" vertical="center" wrapText="1"/>
    </xf>
    <xf numFmtId="0" fontId="42" fillId="0" borderId="0" xfId="0" applyFont="1" applyAlignment="1" applyProtection="1">
      <alignment vertical="center" wrapText="1"/>
    </xf>
    <xf numFmtId="49" fontId="38" fillId="0" borderId="0" xfId="0" applyNumberFormat="1" applyFont="1" applyFill="1" applyAlignment="1" applyProtection="1">
      <alignment vertical="center" wrapText="1"/>
    </xf>
    <xf numFmtId="4" fontId="43" fillId="0" borderId="0" xfId="0" applyNumberFormat="1" applyFont="1" applyFill="1" applyProtection="1"/>
    <xf numFmtId="4" fontId="41" fillId="0" borderId="0" xfId="0" applyNumberFormat="1" applyFont="1" applyFill="1" applyProtection="1"/>
    <xf numFmtId="0" fontId="44" fillId="0" borderId="0" xfId="0" applyFont="1" applyAlignment="1" applyProtection="1"/>
    <xf numFmtId="0" fontId="45" fillId="0" borderId="0" xfId="0" applyFont="1" applyAlignment="1" applyProtection="1"/>
    <xf numFmtId="0" fontId="44" fillId="0" borderId="0" xfId="0" applyFont="1" applyAlignment="1" applyProtection="1">
      <alignment horizontal="center"/>
    </xf>
    <xf numFmtId="0" fontId="42" fillId="0" borderId="0" xfId="0" applyFont="1" applyProtection="1"/>
    <xf numFmtId="0" fontId="46" fillId="0" borderId="0" xfId="0" applyFont="1" applyProtection="1"/>
    <xf numFmtId="0" fontId="42" fillId="0" borderId="0" xfId="0" applyFont="1" applyFill="1" applyBorder="1" applyProtection="1"/>
    <xf numFmtId="0" fontId="41" fillId="0" borderId="0" xfId="0" applyFont="1" applyAlignment="1" applyProtection="1"/>
    <xf numFmtId="0" fontId="47" fillId="0" borderId="0" xfId="0" applyFont="1" applyProtection="1"/>
    <xf numFmtId="0" fontId="48" fillId="0" borderId="0" xfId="0" applyFont="1" applyAlignment="1" applyProtection="1">
      <alignment horizontal="left" vertical="center"/>
    </xf>
    <xf numFmtId="0" fontId="49" fillId="0" borderId="0" xfId="0" applyFont="1" applyProtection="1"/>
    <xf numFmtId="0" fontId="48" fillId="0" borderId="0" xfId="0" applyFont="1" applyProtection="1"/>
    <xf numFmtId="0" fontId="47" fillId="0" borderId="0" xfId="0" applyFont="1"/>
    <xf numFmtId="0" fontId="42" fillId="0" borderId="0" xfId="0" applyFont="1" applyFill="1" applyBorder="1"/>
    <xf numFmtId="0" fontId="49" fillId="0" borderId="0" xfId="0" applyFont="1" applyAlignment="1">
      <alignment vertical="center"/>
    </xf>
    <xf numFmtId="0" fontId="42" fillId="0" borderId="0" xfId="0" applyFont="1" applyFill="1" applyProtection="1"/>
    <xf numFmtId="0" fontId="47" fillId="0" borderId="0" xfId="0" applyFont="1" applyAlignment="1" applyProtection="1">
      <alignment vertical="center"/>
    </xf>
    <xf numFmtId="0" fontId="49" fillId="0" borderId="0" xfId="0" applyFont="1" applyAlignment="1" applyProtection="1">
      <alignment vertical="center"/>
    </xf>
    <xf numFmtId="4" fontId="16" fillId="5" borderId="2" xfId="0" applyNumberFormat="1" applyFont="1" applyFill="1" applyBorder="1" applyAlignment="1" applyProtection="1">
      <alignment horizontal="right" vertical="top" wrapText="1"/>
      <protection locked="0"/>
    </xf>
    <xf numFmtId="4" fontId="16" fillId="5" borderId="2" xfId="0" applyNumberFormat="1" applyFont="1" applyFill="1" applyBorder="1" applyAlignment="1">
      <alignment horizontal="right" vertical="top" wrapText="1"/>
    </xf>
    <xf numFmtId="4" fontId="16" fillId="5" borderId="2" xfId="0" applyNumberFormat="1" applyFont="1" applyFill="1" applyBorder="1" applyAlignment="1" applyProtection="1">
      <alignment horizontal="right" wrapText="1"/>
      <protection locked="0"/>
    </xf>
    <xf numFmtId="0" fontId="15" fillId="0" borderId="0" xfId="5" applyNumberFormat="1" applyFont="1" applyFill="1" applyBorder="1" applyAlignment="1">
      <alignment vertical="top" wrapText="1"/>
    </xf>
    <xf numFmtId="0" fontId="7" fillId="0" borderId="0" xfId="5" applyNumberFormat="1" applyFont="1" applyFill="1" applyBorder="1" applyAlignment="1">
      <alignment vertical="top" wrapText="1"/>
    </xf>
    <xf numFmtId="0" fontId="7" fillId="0" borderId="1" xfId="2" applyFont="1" applyBorder="1" applyAlignment="1">
      <alignment horizontal="right" vertical="top"/>
    </xf>
    <xf numFmtId="16" fontId="7" fillId="0" borderId="3" xfId="0" applyNumberFormat="1" applyFont="1" applyBorder="1" applyAlignment="1">
      <alignment horizontal="center" vertical="top"/>
    </xf>
    <xf numFmtId="0" fontId="7" fillId="0" borderId="4" xfId="0" applyNumberFormat="1" applyFont="1" applyFill="1" applyBorder="1" applyAlignment="1" applyProtection="1">
      <alignment horizontal="left" vertical="top" wrapText="1"/>
    </xf>
    <xf numFmtId="49" fontId="7" fillId="0" borderId="4" xfId="0" applyNumberFormat="1" applyFont="1" applyBorder="1" applyAlignment="1">
      <alignment horizontal="center" vertical="top" wrapText="1"/>
    </xf>
    <xf numFmtId="2" fontId="21" fillId="0" borderId="5" xfId="0" applyNumberFormat="1" applyFont="1" applyBorder="1" applyAlignment="1">
      <alignment horizontal="center"/>
    </xf>
    <xf numFmtId="0" fontId="21" fillId="3" borderId="5" xfId="0" applyFont="1" applyFill="1" applyBorder="1"/>
    <xf numFmtId="0" fontId="7" fillId="0" borderId="4" xfId="0" applyFont="1" applyBorder="1" applyAlignment="1">
      <alignment horizontal="right"/>
    </xf>
    <xf numFmtId="4" fontId="15" fillId="0" borderId="5" xfId="0" applyNumberFormat="1" applyFont="1" applyFill="1" applyBorder="1" applyAlignment="1">
      <alignment horizontal="right" vertical="top"/>
    </xf>
    <xf numFmtId="0" fontId="7" fillId="0" borderId="0" xfId="0" applyFont="1" applyBorder="1" applyAlignment="1">
      <alignment vertical="top" wrapText="1"/>
    </xf>
    <xf numFmtId="0" fontId="15" fillId="0" borderId="6" xfId="0" applyFont="1" applyBorder="1" applyAlignment="1">
      <alignment horizontal="right" vertical="top"/>
    </xf>
    <xf numFmtId="0" fontId="15" fillId="0" borderId="7" xfId="0" applyFont="1" applyFill="1" applyBorder="1" applyAlignment="1">
      <alignment horizontal="justify" vertical="top" wrapText="1"/>
    </xf>
    <xf numFmtId="0" fontId="16" fillId="0" borderId="7" xfId="0" applyFont="1" applyFill="1" applyBorder="1" applyAlignment="1">
      <alignment horizontal="center" vertical="top" wrapText="1"/>
    </xf>
    <xf numFmtId="4" fontId="16" fillId="0" borderId="8" xfId="0" applyNumberFormat="1" applyFont="1" applyFill="1" applyBorder="1" applyAlignment="1" applyProtection="1">
      <alignment horizontal="right" vertical="top" wrapText="1"/>
      <protection locked="0"/>
    </xf>
    <xf numFmtId="4" fontId="16" fillId="0" borderId="7" xfId="0" applyNumberFormat="1" applyFont="1" applyFill="1" applyBorder="1" applyAlignment="1">
      <alignment horizontal="right" vertical="top" wrapText="1"/>
    </xf>
    <xf numFmtId="4" fontId="16" fillId="0" borderId="8" xfId="0" applyNumberFormat="1" applyFont="1" applyFill="1" applyBorder="1" applyAlignment="1">
      <alignment horizontal="right" vertical="top"/>
    </xf>
    <xf numFmtId="0" fontId="11" fillId="0" borderId="1" xfId="0" applyFont="1" applyBorder="1" applyAlignment="1">
      <alignment horizontal="left" vertical="top" wrapText="1" indent="1"/>
    </xf>
    <xf numFmtId="0" fontId="11" fillId="0" borderId="0" xfId="0" applyFont="1" applyBorder="1" applyAlignment="1">
      <alignment horizontal="left" vertical="top" wrapText="1" indent="1"/>
    </xf>
    <xf numFmtId="0" fontId="15" fillId="0" borderId="0" xfId="0" applyFont="1" applyFill="1" applyBorder="1" applyAlignment="1">
      <alignment horizontal="left" vertical="top" wrapText="1" indent="1"/>
    </xf>
    <xf numFmtId="0" fontId="16" fillId="0" borderId="1" xfId="0" applyFont="1" applyBorder="1" applyAlignment="1">
      <alignment horizontal="right" vertical="top"/>
    </xf>
    <xf numFmtId="0" fontId="16" fillId="0" borderId="0" xfId="0" applyFont="1" applyFill="1" applyBorder="1" applyAlignment="1">
      <alignment horizontal="justify" vertical="top" wrapText="1"/>
    </xf>
    <xf numFmtId="0" fontId="16" fillId="0" borderId="0" xfId="0" applyFont="1" applyFill="1" applyBorder="1" applyAlignment="1" applyProtection="1">
      <alignment horizontal="justify" vertical="top" wrapText="1"/>
    </xf>
    <xf numFmtId="0" fontId="50" fillId="0" borderId="0" xfId="0" applyFont="1" applyFill="1" applyBorder="1" applyAlignment="1">
      <alignment horizontal="left" vertical="top" wrapText="1"/>
    </xf>
    <xf numFmtId="0" fontId="52" fillId="0" borderId="13" xfId="8" applyFont="1" applyBorder="1" applyAlignment="1">
      <alignment vertical="top" wrapText="1"/>
    </xf>
    <xf numFmtId="4" fontId="32" fillId="0" borderId="13" xfId="8" applyNumberFormat="1" applyFont="1" applyBorder="1" applyAlignment="1">
      <alignment horizontal="center" vertical="top" wrapText="1"/>
    </xf>
    <xf numFmtId="4" fontId="32" fillId="0" borderId="13" xfId="8" applyNumberFormat="1" applyFont="1" applyBorder="1" applyAlignment="1">
      <alignment vertical="top" wrapText="1"/>
    </xf>
    <xf numFmtId="0" fontId="53" fillId="0" borderId="13" xfId="8" applyFont="1" applyBorder="1" applyAlignment="1">
      <alignment horizontal="center" vertical="top" wrapText="1"/>
    </xf>
    <xf numFmtId="4" fontId="32" fillId="0" borderId="13" xfId="8" applyNumberFormat="1" applyFont="1" applyBorder="1" applyAlignment="1">
      <alignment horizontal="center" wrapText="1"/>
    </xf>
    <xf numFmtId="0" fontId="55" fillId="0" borderId="13" xfId="8" applyFont="1" applyBorder="1" applyAlignment="1">
      <alignment vertical="top" wrapText="1"/>
    </xf>
    <xf numFmtId="0" fontId="32" fillId="0" borderId="13" xfId="8" applyFont="1" applyBorder="1" applyAlignment="1">
      <alignment horizontal="center" vertical="top" wrapText="1"/>
    </xf>
    <xf numFmtId="0" fontId="32" fillId="0" borderId="13" xfId="0" applyFont="1" applyBorder="1" applyAlignment="1">
      <alignment horizontal="justify" vertical="top" wrapText="1"/>
    </xf>
    <xf numFmtId="0" fontId="32" fillId="0" borderId="13" xfId="8" applyFont="1" applyBorder="1" applyAlignment="1">
      <alignment wrapText="1"/>
    </xf>
    <xf numFmtId="0" fontId="60" fillId="0" borderId="13" xfId="8" applyFont="1" applyBorder="1" applyAlignment="1">
      <alignment wrapText="1"/>
    </xf>
    <xf numFmtId="0" fontId="55" fillId="0" borderId="13" xfId="8" applyFont="1" applyBorder="1" applyAlignment="1">
      <alignment horizontal="justify" vertical="top" wrapText="1"/>
    </xf>
    <xf numFmtId="0" fontId="63" fillId="0" borderId="13" xfId="8" applyFont="1" applyBorder="1" applyAlignment="1">
      <alignment horizontal="justify" vertical="top" wrapText="1"/>
    </xf>
    <xf numFmtId="0" fontId="55" fillId="0" borderId="13" xfId="0" applyFont="1" applyBorder="1" applyAlignment="1">
      <alignment horizontal="justify" vertical="top" wrapText="1"/>
    </xf>
    <xf numFmtId="0" fontId="32" fillId="0" borderId="0" xfId="0" applyFont="1" applyAlignment="1">
      <alignment vertical="top" wrapText="1"/>
    </xf>
    <xf numFmtId="0" fontId="32" fillId="0" borderId="13" xfId="8" applyFont="1" applyBorder="1" applyAlignment="1">
      <alignment horizontal="justify" vertical="top" wrapText="1"/>
    </xf>
    <xf numFmtId="0" fontId="60" fillId="0" borderId="13" xfId="8" applyFont="1" applyBorder="1" applyAlignment="1">
      <alignment horizontal="justify" vertical="top" wrapText="1"/>
    </xf>
    <xf numFmtId="0" fontId="60" fillId="0" borderId="13" xfId="0" applyFont="1" applyBorder="1" applyAlignment="1">
      <alignment horizontal="justify" vertical="top" wrapText="1"/>
    </xf>
    <xf numFmtId="0" fontId="54" fillId="0" borderId="13" xfId="0" applyFont="1" applyBorder="1" applyAlignment="1" applyProtection="1">
      <alignment horizontal="left" vertical="top" wrapText="1"/>
      <protection locked="0"/>
    </xf>
    <xf numFmtId="0" fontId="54" fillId="0" borderId="13" xfId="8" applyFont="1" applyBorder="1" applyAlignment="1">
      <alignment horizontal="right" vertical="top" wrapText="1"/>
    </xf>
    <xf numFmtId="0" fontId="32" fillId="0" borderId="13" xfId="0" applyFont="1" applyBorder="1" applyAlignment="1" applyProtection="1">
      <alignment horizontal="center" wrapText="1"/>
      <protection locked="0"/>
    </xf>
    <xf numFmtId="4" fontId="32" fillId="0" borderId="13" xfId="0" applyNumberFormat="1" applyFont="1" applyBorder="1" applyAlignment="1" applyProtection="1">
      <alignment horizontal="center" wrapText="1"/>
      <protection locked="0"/>
    </xf>
    <xf numFmtId="4" fontId="32" fillId="0" borderId="13" xfId="0" applyNumberFormat="1" applyFont="1" applyBorder="1" applyAlignment="1" applyProtection="1">
      <alignment wrapText="1"/>
      <protection locked="0"/>
    </xf>
    <xf numFmtId="0" fontId="54" fillId="0" borderId="13" xfId="0" applyFont="1" applyBorder="1" applyAlignment="1" applyProtection="1">
      <alignment horizontal="right" vertical="top" wrapText="1"/>
      <protection locked="0"/>
    </xf>
    <xf numFmtId="0" fontId="32" fillId="0" borderId="13" xfId="0" applyFont="1" applyBorder="1" applyAlignment="1" applyProtection="1">
      <alignment horizontal="justify" vertical="top" wrapText="1"/>
      <protection locked="0"/>
    </xf>
    <xf numFmtId="0" fontId="54" fillId="0" borderId="13" xfId="8" applyFont="1" applyBorder="1" applyAlignment="1">
      <alignment horizontal="left" vertical="top" wrapText="1"/>
    </xf>
    <xf numFmtId="0" fontId="59" fillId="0" borderId="13" xfId="8" applyFont="1" applyBorder="1" applyAlignment="1">
      <alignment horizontal="left" vertical="top" wrapText="1"/>
    </xf>
    <xf numFmtId="0" fontId="59" fillId="0" borderId="13" xfId="8" applyFont="1" applyBorder="1" applyAlignment="1">
      <alignment horizontal="right" vertical="top" wrapText="1"/>
    </xf>
    <xf numFmtId="0" fontId="60" fillId="0" borderId="13" xfId="0" applyFont="1" applyBorder="1" applyAlignment="1" applyProtection="1">
      <alignment horizontal="justify" vertical="top" wrapText="1"/>
      <protection locked="0"/>
    </xf>
    <xf numFmtId="0" fontId="60" fillId="0" borderId="13" xfId="8" applyFont="1" applyBorder="1" applyAlignment="1">
      <alignment horizontal="center" wrapText="1"/>
    </xf>
    <xf numFmtId="4" fontId="32" fillId="0" borderId="13" xfId="8" applyNumberFormat="1" applyFont="1" applyBorder="1" applyAlignment="1">
      <alignment wrapText="1"/>
    </xf>
    <xf numFmtId="0" fontId="32" fillId="0" borderId="13" xfId="8" applyFont="1" applyBorder="1" applyAlignment="1">
      <alignment horizontal="center" wrapText="1"/>
    </xf>
    <xf numFmtId="0" fontId="59" fillId="0" borderId="13" xfId="0" applyFont="1" applyBorder="1" applyAlignment="1" applyProtection="1">
      <alignment horizontal="left" vertical="top" wrapText="1"/>
      <protection locked="0"/>
    </xf>
    <xf numFmtId="0" fontId="54" fillId="0" borderId="13" xfId="0" applyFont="1" applyBorder="1" applyAlignment="1">
      <alignment horizontal="right" vertical="top" wrapText="1"/>
    </xf>
    <xf numFmtId="0" fontId="32" fillId="0" borderId="13" xfId="0" applyFont="1" applyBorder="1" applyAlignment="1">
      <alignment horizontal="center" wrapText="1"/>
    </xf>
    <xf numFmtId="0" fontId="32" fillId="0" borderId="13" xfId="0" applyFont="1" applyBorder="1" applyAlignment="1">
      <alignment vertical="top" wrapText="1"/>
    </xf>
    <xf numFmtId="0" fontId="32" fillId="0" borderId="13" xfId="0" applyFont="1" applyBorder="1" applyAlignment="1">
      <alignment horizontal="right" vertical="top" wrapText="1"/>
    </xf>
    <xf numFmtId="2" fontId="32" fillId="0" borderId="13" xfId="0" applyNumberFormat="1" applyFont="1" applyBorder="1" applyAlignment="1">
      <alignment horizontal="center" wrapText="1"/>
    </xf>
    <xf numFmtId="2" fontId="32" fillId="0" borderId="13" xfId="0" applyNumberFormat="1" applyFont="1" applyBorder="1" applyAlignment="1">
      <alignment vertical="top" wrapText="1"/>
    </xf>
    <xf numFmtId="0" fontId="55" fillId="0" borderId="13" xfId="0" applyFont="1" applyBorder="1" applyAlignment="1">
      <alignment horizontal="left" vertical="top" wrapText="1"/>
    </xf>
    <xf numFmtId="0" fontId="32" fillId="0" borderId="13" xfId="0" applyFont="1" applyBorder="1" applyAlignment="1">
      <alignment horizontal="left" vertical="top" wrapText="1"/>
    </xf>
    <xf numFmtId="0" fontId="60" fillId="0" borderId="13" xfId="0" applyFont="1" applyBorder="1" applyAlignment="1">
      <alignment horizontal="right" vertical="top" wrapText="1"/>
    </xf>
    <xf numFmtId="0" fontId="60" fillId="7" borderId="13" xfId="8" applyFont="1" applyFill="1" applyBorder="1" applyAlignment="1">
      <alignment horizontal="justify" vertical="top" wrapText="1"/>
    </xf>
    <xf numFmtId="0" fontId="32" fillId="0" borderId="13" xfId="0" applyFont="1" applyBorder="1" applyAlignment="1">
      <alignment wrapText="1"/>
    </xf>
    <xf numFmtId="0" fontId="63" fillId="0" borderId="13" xfId="0" applyFont="1" applyBorder="1" applyAlignment="1">
      <alignment wrapText="1"/>
    </xf>
    <xf numFmtId="0" fontId="60" fillId="0" borderId="13" xfId="0" applyFont="1" applyBorder="1" applyAlignment="1">
      <alignment vertical="top" wrapText="1"/>
    </xf>
    <xf numFmtId="0" fontId="69" fillId="0" borderId="13" xfId="8" applyFont="1" applyBorder="1" applyAlignment="1">
      <alignment horizontal="justify" vertical="top" wrapText="1"/>
    </xf>
    <xf numFmtId="0" fontId="69" fillId="0" borderId="13" xfId="0" applyFont="1" applyBorder="1" applyAlignment="1">
      <alignment vertical="top" wrapText="1"/>
    </xf>
    <xf numFmtId="0" fontId="63" fillId="0" borderId="13" xfId="8" applyFont="1" applyBorder="1" applyAlignment="1">
      <alignment vertical="top" wrapText="1"/>
    </xf>
    <xf numFmtId="165" fontId="32" fillId="0" borderId="13" xfId="0" applyNumberFormat="1" applyFont="1" applyBorder="1" applyAlignment="1">
      <alignment horizontal="center" wrapText="1"/>
    </xf>
    <xf numFmtId="165" fontId="32" fillId="0" borderId="13" xfId="0" applyNumberFormat="1" applyFont="1" applyBorder="1" applyAlignment="1">
      <alignment wrapText="1"/>
    </xf>
    <xf numFmtId="0" fontId="60" fillId="0" borderId="13" xfId="8" applyFont="1" applyBorder="1" applyAlignment="1">
      <alignment horizontal="center" vertical="top" wrapText="1"/>
    </xf>
    <xf numFmtId="0" fontId="32" fillId="0" borderId="13" xfId="8" applyFont="1" applyBorder="1" applyAlignment="1">
      <alignment vertical="top" wrapText="1"/>
    </xf>
    <xf numFmtId="0" fontId="54" fillId="0" borderId="13" xfId="0" applyFont="1" applyBorder="1" applyAlignment="1">
      <alignment horizontal="justify" vertical="top" wrapText="1"/>
    </xf>
    <xf numFmtId="0" fontId="32" fillId="0" borderId="13" xfId="8" applyFont="1" applyBorder="1" applyAlignment="1">
      <alignment vertical="center" wrapText="1"/>
    </xf>
    <xf numFmtId="0" fontId="32" fillId="0" borderId="13" xfId="0" applyFont="1" applyBorder="1" applyAlignment="1">
      <alignment horizontal="left" wrapText="1"/>
    </xf>
    <xf numFmtId="4" fontId="73" fillId="0" borderId="13" xfId="0" applyNumberFormat="1" applyFont="1" applyBorder="1" applyAlignment="1">
      <alignment horizontal="center" wrapText="1"/>
    </xf>
    <xf numFmtId="4" fontId="73" fillId="0" borderId="13" xfId="0" applyNumberFormat="1" applyFont="1" applyBorder="1" applyAlignment="1">
      <alignment wrapText="1"/>
    </xf>
    <xf numFmtId="0" fontId="32" fillId="0" borderId="13" xfId="0" applyFont="1" applyBorder="1" applyAlignment="1" applyProtection="1">
      <alignment horizontal="left" vertical="top" wrapText="1"/>
      <protection locked="0"/>
    </xf>
    <xf numFmtId="0" fontId="69" fillId="0" borderId="13" xfId="0" applyFont="1" applyBorder="1" applyAlignment="1">
      <alignment horizontal="left" vertical="top" wrapText="1"/>
    </xf>
    <xf numFmtId="0" fontId="32" fillId="7" borderId="13" xfId="0" applyFont="1" applyFill="1" applyBorder="1" applyAlignment="1">
      <alignment vertical="top" wrapText="1"/>
    </xf>
    <xf numFmtId="0" fontId="55" fillId="0" borderId="13" xfId="8" applyFont="1" applyBorder="1" applyAlignment="1">
      <alignment wrapText="1"/>
    </xf>
    <xf numFmtId="0" fontId="32" fillId="0" borderId="13" xfId="0" applyFont="1" applyBorder="1" applyAlignment="1">
      <alignment vertical="top" wrapText="1" shrinkToFit="1"/>
    </xf>
    <xf numFmtId="0" fontId="32" fillId="0" borderId="13" xfId="0" applyFont="1" applyBorder="1" applyAlignment="1">
      <alignment horizontal="center" vertical="top" wrapText="1" shrinkToFit="1"/>
    </xf>
    <xf numFmtId="0" fontId="32" fillId="0" borderId="13" xfId="0" applyFont="1" applyBorder="1" applyAlignment="1">
      <alignment horizontal="center" wrapText="1" shrinkToFit="1"/>
    </xf>
    <xf numFmtId="0" fontId="60" fillId="0" borderId="13" xfId="0" applyFont="1" applyBorder="1" applyAlignment="1">
      <alignment wrapText="1"/>
    </xf>
    <xf numFmtId="165" fontId="32" fillId="0" borderId="13" xfId="0" applyNumberFormat="1" applyFont="1" applyBorder="1" applyAlignment="1">
      <alignment horizontal="center" vertical="center" wrapText="1"/>
    </xf>
    <xf numFmtId="165" fontId="32" fillId="0" borderId="13" xfId="0" applyNumberFormat="1" applyFont="1" applyBorder="1" applyAlignment="1">
      <alignment vertical="center" wrapText="1"/>
    </xf>
    <xf numFmtId="0" fontId="60" fillId="0" borderId="13" xfId="0" applyFont="1" applyBorder="1" applyAlignment="1">
      <alignment vertical="top" wrapText="1" shrinkToFit="1"/>
    </xf>
    <xf numFmtId="0" fontId="69" fillId="0" borderId="13" xfId="0" applyFont="1" applyBorder="1" applyAlignment="1">
      <alignment vertical="top" wrapText="1" shrinkToFit="1"/>
    </xf>
    <xf numFmtId="49" fontId="32" fillId="0" borderId="13" xfId="5" applyNumberFormat="1" applyFont="1" applyBorder="1" applyAlignment="1">
      <alignment vertical="top" wrapText="1"/>
    </xf>
    <xf numFmtId="2" fontId="32" fillId="0" borderId="13" xfId="0" applyNumberFormat="1" applyFont="1" applyBorder="1" applyAlignment="1">
      <alignment horizontal="center" vertical="top" wrapText="1" shrinkToFit="1"/>
    </xf>
    <xf numFmtId="0" fontId="69" fillId="0" borderId="13" xfId="0" applyFont="1" applyBorder="1" applyAlignment="1">
      <alignment horizontal="center" wrapText="1" shrinkToFit="1"/>
    </xf>
    <xf numFmtId="0" fontId="69" fillId="0" borderId="13" xfId="0" applyFont="1" applyBorder="1" applyAlignment="1">
      <alignment horizontal="center" vertical="top" wrapText="1" shrinkToFit="1"/>
    </xf>
    <xf numFmtId="4" fontId="32" fillId="0" borderId="13" xfId="0" applyNumberFormat="1" applyFont="1" applyBorder="1" applyAlignment="1">
      <alignment horizontal="center" wrapText="1" shrinkToFit="1"/>
    </xf>
    <xf numFmtId="49" fontId="32" fillId="0" borderId="13" xfId="0" applyNumberFormat="1" applyFont="1" applyBorder="1" applyAlignment="1">
      <alignment vertical="top" wrapText="1"/>
    </xf>
    <xf numFmtId="0" fontId="60" fillId="0" borderId="0" xfId="0" applyFont="1" applyAlignment="1">
      <alignment vertical="top" wrapText="1"/>
    </xf>
    <xf numFmtId="0" fontId="60" fillId="0" borderId="0" xfId="0" applyFont="1" applyAlignment="1">
      <alignment wrapText="1"/>
    </xf>
    <xf numFmtId="165" fontId="32" fillId="0" borderId="0" xfId="0" applyNumberFormat="1" applyFont="1" applyAlignment="1">
      <alignment horizontal="center" wrapText="1"/>
    </xf>
    <xf numFmtId="165" fontId="32" fillId="0" borderId="0" xfId="0" applyNumberFormat="1" applyFont="1" applyAlignment="1">
      <alignment wrapText="1"/>
    </xf>
    <xf numFmtId="0" fontId="63" fillId="0" borderId="0" xfId="0" applyFont="1" applyAlignment="1">
      <alignment wrapText="1"/>
    </xf>
    <xf numFmtId="0" fontId="32" fillId="0" borderId="0" xfId="0" applyFont="1" applyAlignment="1">
      <alignment horizontal="center" wrapText="1"/>
    </xf>
    <xf numFmtId="165" fontId="55" fillId="0" borderId="0" xfId="0" applyNumberFormat="1" applyFont="1" applyAlignment="1">
      <alignment wrapText="1"/>
    </xf>
    <xf numFmtId="165" fontId="32" fillId="0" borderId="0" xfId="0" applyNumberFormat="1" applyFont="1" applyAlignment="1">
      <alignment vertical="center" wrapText="1"/>
    </xf>
    <xf numFmtId="165" fontId="55" fillId="0" borderId="0" xfId="0" applyNumberFormat="1" applyFont="1" applyAlignment="1">
      <alignment vertical="center" wrapText="1"/>
    </xf>
    <xf numFmtId="0" fontId="71" fillId="0" borderId="0" xfId="0" applyFont="1" applyAlignment="1">
      <alignment vertical="center" wrapText="1"/>
    </xf>
    <xf numFmtId="0" fontId="58" fillId="0" borderId="0" xfId="0" applyFont="1" applyAlignment="1">
      <alignment vertical="center" wrapText="1"/>
    </xf>
    <xf numFmtId="0" fontId="54" fillId="0" borderId="0" xfId="0" applyFont="1" applyAlignment="1">
      <alignment vertical="center" wrapText="1"/>
    </xf>
    <xf numFmtId="0" fontId="69" fillId="0" borderId="0" xfId="0" applyFont="1" applyAlignment="1">
      <alignment vertical="center" wrapText="1"/>
    </xf>
    <xf numFmtId="165" fontId="32" fillId="0" borderId="0" xfId="0" applyNumberFormat="1" applyFont="1" applyAlignment="1">
      <alignment horizontal="center" vertical="center" wrapText="1"/>
    </xf>
    <xf numFmtId="0" fontId="51" fillId="0" borderId="13" xfId="8" applyFont="1" applyBorder="1" applyAlignment="1">
      <alignment horizontal="left" vertical="top" wrapText="1"/>
    </xf>
    <xf numFmtId="0" fontId="52" fillId="0" borderId="13" xfId="8" applyFont="1" applyBorder="1" applyAlignment="1">
      <alignment horizontal="right" vertical="top" wrapText="1"/>
    </xf>
    <xf numFmtId="0" fontId="32" fillId="0" borderId="13" xfId="8" applyFont="1" applyBorder="1" applyAlignment="1">
      <alignment horizontal="right" vertical="top" wrapText="1"/>
    </xf>
    <xf numFmtId="0" fontId="54" fillId="0" borderId="13" xfId="0" applyFont="1" applyBorder="1" applyAlignment="1">
      <alignment horizontal="left" vertical="top" wrapText="1"/>
    </xf>
    <xf numFmtId="4" fontId="32" fillId="0" borderId="13" xfId="1" applyNumberFormat="1" applyFont="1" applyFill="1" applyBorder="1" applyAlignment="1">
      <alignment horizontal="center" wrapText="1"/>
    </xf>
    <xf numFmtId="4" fontId="32" fillId="0" borderId="13" xfId="0" applyNumberFormat="1" applyFont="1" applyBorder="1" applyAlignment="1">
      <alignment wrapText="1"/>
    </xf>
    <xf numFmtId="4" fontId="32" fillId="0" borderId="13" xfId="8" applyNumberFormat="1" applyFont="1" applyBorder="1" applyAlignment="1" applyProtection="1">
      <alignment horizontal="center" wrapText="1"/>
      <protection locked="0"/>
    </xf>
    <xf numFmtId="0" fontId="58" fillId="0" borderId="13" xfId="8" applyFont="1" applyBorder="1" applyAlignment="1">
      <alignment horizontal="right" wrapText="1"/>
    </xf>
    <xf numFmtId="0" fontId="58" fillId="0" borderId="0" xfId="8" applyFont="1" applyAlignment="1">
      <alignment horizontal="right" wrapText="1"/>
    </xf>
    <xf numFmtId="0" fontId="59" fillId="0" borderId="13" xfId="0" applyFont="1" applyBorder="1" applyAlignment="1">
      <alignment horizontal="left" vertical="top" wrapText="1"/>
    </xf>
    <xf numFmtId="0" fontId="61" fillId="0" borderId="13" xfId="8" applyFont="1" applyBorder="1" applyAlignment="1">
      <alignment horizontal="left" vertical="top" wrapText="1"/>
    </xf>
    <xf numFmtId="0" fontId="61" fillId="0" borderId="13" xfId="8" applyFont="1" applyBorder="1" applyAlignment="1">
      <alignment horizontal="right" vertical="top" wrapText="1"/>
    </xf>
    <xf numFmtId="0" fontId="55" fillId="0" borderId="13" xfId="8" applyFont="1" applyBorder="1" applyAlignment="1">
      <alignment horizontal="center" wrapText="1"/>
    </xf>
    <xf numFmtId="4" fontId="55" fillId="0" borderId="13" xfId="8" applyNumberFormat="1" applyFont="1" applyBorder="1" applyAlignment="1">
      <alignment wrapText="1"/>
    </xf>
    <xf numFmtId="0" fontId="62" fillId="0" borderId="13" xfId="8" applyFont="1" applyBorder="1" applyAlignment="1">
      <alignment horizontal="right" vertical="top" wrapText="1"/>
    </xf>
    <xf numFmtId="0" fontId="54" fillId="0" borderId="15" xfId="8" applyFont="1" applyBorder="1" applyAlignment="1">
      <alignment horizontal="left" vertical="top" wrapText="1"/>
    </xf>
    <xf numFmtId="0" fontId="54" fillId="0" borderId="15" xfId="8" applyFont="1" applyBorder="1" applyAlignment="1">
      <alignment horizontal="right" vertical="top" wrapText="1"/>
    </xf>
    <xf numFmtId="0" fontId="32" fillId="0" borderId="15" xfId="8" applyFont="1" applyBorder="1" applyAlignment="1">
      <alignment horizontal="center" wrapText="1"/>
    </xf>
    <xf numFmtId="4" fontId="32" fillId="0" borderId="15" xfId="8" applyNumberFormat="1" applyFont="1" applyBorder="1" applyAlignment="1">
      <alignment horizontal="center" wrapText="1"/>
    </xf>
    <xf numFmtId="4" fontId="32" fillId="0" borderId="15" xfId="8" applyNumberFormat="1" applyFont="1" applyBorder="1" applyAlignment="1">
      <alignment wrapText="1"/>
    </xf>
    <xf numFmtId="0" fontId="59" fillId="0" borderId="13" xfId="0" applyFont="1" applyBorder="1" applyAlignment="1">
      <alignment horizontal="right" vertical="top" wrapText="1"/>
    </xf>
    <xf numFmtId="0" fontId="60" fillId="0" borderId="13" xfId="0" applyFont="1" applyBorder="1" applyAlignment="1">
      <alignment horizontal="center" wrapText="1"/>
    </xf>
    <xf numFmtId="0" fontId="62" fillId="0" borderId="13" xfId="8" applyFont="1" applyBorder="1" applyAlignment="1">
      <alignment horizontal="left" vertical="top" wrapText="1"/>
    </xf>
    <xf numFmtId="4" fontId="55" fillId="0" borderId="13" xfId="8" applyNumberFormat="1" applyFont="1" applyBorder="1" applyAlignment="1">
      <alignment horizontal="center" wrapText="1"/>
    </xf>
    <xf numFmtId="0" fontId="55" fillId="0" borderId="13" xfId="8" applyFont="1" applyBorder="1" applyAlignment="1">
      <alignment horizontal="left" vertical="top" wrapText="1"/>
    </xf>
    <xf numFmtId="0" fontId="55" fillId="7" borderId="13" xfId="8" applyFont="1" applyFill="1" applyBorder="1" applyAlignment="1">
      <alignment horizontal="left" vertical="top" wrapText="1"/>
    </xf>
    <xf numFmtId="4" fontId="32" fillId="0" borderId="13" xfId="0" applyNumberFormat="1" applyFont="1" applyBorder="1" applyAlignment="1">
      <alignment horizontal="center" wrapText="1"/>
    </xf>
    <xf numFmtId="0" fontId="32" fillId="0" borderId="13" xfId="9" applyFont="1" applyBorder="1" applyAlignment="1">
      <alignment horizontal="center" wrapText="1"/>
    </xf>
    <xf numFmtId="4" fontId="32" fillId="0" borderId="13" xfId="9" applyNumberFormat="1" applyFont="1" applyBorder="1" applyAlignment="1">
      <alignment horizontal="center" vertical="center" wrapText="1"/>
    </xf>
    <xf numFmtId="4" fontId="32" fillId="0" borderId="13" xfId="9" applyNumberFormat="1" applyFont="1" applyBorder="1" applyAlignment="1">
      <alignment horizontal="center" wrapText="1"/>
    </xf>
    <xf numFmtId="0" fontId="63" fillId="7" borderId="13" xfId="8" applyFont="1" applyFill="1" applyBorder="1" applyAlignment="1">
      <alignment horizontal="left" vertical="top" wrapText="1"/>
    </xf>
    <xf numFmtId="0" fontId="60" fillId="7" borderId="13" xfId="8" applyFont="1" applyFill="1" applyBorder="1" applyAlignment="1">
      <alignment horizontal="right" vertical="top" wrapText="1"/>
    </xf>
    <xf numFmtId="0" fontId="32" fillId="7" borderId="13" xfId="0" applyFont="1" applyFill="1" applyBorder="1" applyAlignment="1">
      <alignment horizontal="center" wrapText="1"/>
    </xf>
    <xf numFmtId="0" fontId="60" fillId="7" borderId="13" xfId="8" applyFont="1" applyFill="1" applyBorder="1" applyAlignment="1">
      <alignment horizontal="left" vertical="top" wrapText="1"/>
    </xf>
    <xf numFmtId="4" fontId="66" fillId="0" borderId="13" xfId="8" applyNumberFormat="1" applyFont="1" applyBorder="1" applyAlignment="1">
      <alignment horizontal="center" wrapText="1"/>
    </xf>
    <xf numFmtId="0" fontId="32" fillId="7" borderId="13" xfId="8" applyFont="1" applyFill="1" applyBorder="1" applyAlignment="1">
      <alignment horizontal="left" vertical="top" wrapText="1"/>
    </xf>
    <xf numFmtId="0" fontId="60" fillId="0" borderId="13" xfId="0" applyFont="1" applyBorder="1" applyAlignment="1">
      <alignment horizontal="left" vertical="top" wrapText="1"/>
    </xf>
    <xf numFmtId="0" fontId="60" fillId="7" borderId="13" xfId="0" applyFont="1" applyFill="1" applyBorder="1" applyAlignment="1">
      <alignment horizontal="center" wrapText="1"/>
    </xf>
    <xf numFmtId="4" fontId="60" fillId="0" borderId="13" xfId="1" applyNumberFormat="1" applyFont="1" applyFill="1" applyBorder="1" applyAlignment="1">
      <alignment horizontal="center" wrapText="1"/>
    </xf>
    <xf numFmtId="4" fontId="55" fillId="0" borderId="13" xfId="0" applyNumberFormat="1" applyFont="1" applyBorder="1" applyAlignment="1">
      <alignment wrapText="1"/>
    </xf>
    <xf numFmtId="0" fontId="67" fillId="0" borderId="13" xfId="8" applyFont="1" applyBorder="1" applyAlignment="1">
      <alignment horizontal="center" wrapText="1"/>
    </xf>
    <xf numFmtId="0" fontId="63" fillId="7" borderId="15" xfId="8" applyFont="1" applyFill="1" applyBorder="1" applyAlignment="1">
      <alignment horizontal="left" vertical="top" wrapText="1"/>
    </xf>
    <xf numFmtId="0" fontId="63" fillId="7" borderId="15" xfId="8" applyFont="1" applyFill="1" applyBorder="1" applyAlignment="1">
      <alignment vertical="top" wrapText="1"/>
    </xf>
    <xf numFmtId="0" fontId="63" fillId="7" borderId="15" xfId="8" applyFont="1" applyFill="1" applyBorder="1" applyAlignment="1">
      <alignment horizontal="center" wrapText="1"/>
    </xf>
    <xf numFmtId="0" fontId="63" fillId="0" borderId="15" xfId="8" applyFont="1" applyBorder="1" applyAlignment="1">
      <alignment horizontal="center" wrapText="1"/>
    </xf>
    <xf numFmtId="0" fontId="55" fillId="0" borderId="15" xfId="8" applyFont="1" applyBorder="1" applyAlignment="1">
      <alignment horizontal="center" wrapText="1"/>
    </xf>
    <xf numFmtId="4" fontId="55" fillId="0" borderId="15" xfId="0" applyNumberFormat="1" applyFont="1" applyBorder="1" applyAlignment="1">
      <alignment wrapText="1"/>
    </xf>
    <xf numFmtId="0" fontId="55" fillId="0" borderId="13" xfId="0" applyFont="1" applyBorder="1" applyAlignment="1">
      <alignment wrapText="1"/>
    </xf>
    <xf numFmtId="0" fontId="63" fillId="0" borderId="13" xfId="8" applyFont="1" applyBorder="1" applyAlignment="1">
      <alignment horizontal="left" vertical="top" wrapText="1"/>
    </xf>
    <xf numFmtId="0" fontId="63" fillId="0" borderId="13" xfId="0" applyFont="1" applyBorder="1" applyAlignment="1">
      <alignment vertical="top" wrapText="1"/>
    </xf>
    <xf numFmtId="4" fontId="63" fillId="0" borderId="13" xfId="0" applyNumberFormat="1" applyFont="1" applyBorder="1" applyAlignment="1">
      <alignment wrapText="1"/>
    </xf>
    <xf numFmtId="0" fontId="55" fillId="0" borderId="13" xfId="0" applyFont="1" applyBorder="1" applyAlignment="1">
      <alignment horizontal="right" vertical="top" wrapText="1"/>
    </xf>
    <xf numFmtId="0" fontId="63" fillId="0" borderId="13" xfId="0" applyFont="1" applyBorder="1" applyAlignment="1">
      <alignment horizontal="right" vertical="top" wrapText="1"/>
    </xf>
    <xf numFmtId="4" fontId="60" fillId="0" borderId="13" xfId="0" applyNumberFormat="1" applyFont="1" applyBorder="1" applyAlignment="1">
      <alignment wrapText="1"/>
    </xf>
    <xf numFmtId="0" fontId="68" fillId="0" borderId="13" xfId="8" applyFont="1" applyBorder="1" applyAlignment="1">
      <alignment horizontal="left" vertical="top" wrapText="1"/>
    </xf>
    <xf numFmtId="0" fontId="68" fillId="0" borderId="13" xfId="0" applyFont="1" applyBorder="1" applyAlignment="1">
      <alignment horizontal="right" vertical="top" wrapText="1"/>
    </xf>
    <xf numFmtId="2" fontId="69" fillId="0" borderId="13" xfId="0" applyNumberFormat="1" applyFont="1" applyBorder="1" applyAlignment="1">
      <alignment horizontal="center" wrapText="1"/>
    </xf>
    <xf numFmtId="0" fontId="68" fillId="0" borderId="13" xfId="0" applyFont="1" applyBorder="1" applyAlignment="1">
      <alignment vertical="top" wrapText="1"/>
    </xf>
    <xf numFmtId="4" fontId="68" fillId="0" borderId="13" xfId="0" applyNumberFormat="1" applyFont="1" applyBorder="1" applyAlignment="1">
      <alignment wrapText="1"/>
    </xf>
    <xf numFmtId="0" fontId="71" fillId="0" borderId="13" xfId="8" applyFont="1" applyBorder="1" applyAlignment="1">
      <alignment horizontal="left" vertical="top" wrapText="1"/>
    </xf>
    <xf numFmtId="4" fontId="55" fillId="0" borderId="13" xfId="1" applyNumberFormat="1" applyFont="1" applyFill="1" applyBorder="1" applyAlignment="1">
      <alignment horizontal="center" wrapText="1"/>
    </xf>
    <xf numFmtId="0" fontId="51" fillId="0" borderId="13" xfId="8" applyFont="1" applyBorder="1" applyAlignment="1">
      <alignment horizontal="right" vertical="top" wrapText="1"/>
    </xf>
    <xf numFmtId="0" fontId="72" fillId="0" borderId="13" xfId="8" applyFont="1" applyBorder="1" applyAlignment="1">
      <alignment horizontal="left" vertical="top" wrapText="1"/>
    </xf>
    <xf numFmtId="0" fontId="72" fillId="0" borderId="13" xfId="0" applyFont="1" applyBorder="1" applyAlignment="1">
      <alignment horizontal="right" vertical="top" wrapText="1"/>
    </xf>
    <xf numFmtId="0" fontId="61" fillId="0" borderId="13" xfId="0" applyFont="1" applyBorder="1" applyAlignment="1">
      <alignment horizontal="left" vertical="top" wrapText="1"/>
    </xf>
    <xf numFmtId="0" fontId="61" fillId="0" borderId="13" xfId="0" applyFont="1" applyBorder="1" applyAlignment="1">
      <alignment horizontal="right" vertical="top" wrapText="1"/>
    </xf>
    <xf numFmtId="0" fontId="61" fillId="0" borderId="13" xfId="0" applyFont="1" applyBorder="1" applyAlignment="1">
      <alignment horizontal="center" vertical="center" wrapText="1"/>
    </xf>
    <xf numFmtId="0" fontId="61" fillId="0" borderId="13" xfId="0" applyFont="1" applyBorder="1" applyAlignment="1">
      <alignment horizontal="right" vertical="center" wrapText="1"/>
    </xf>
    <xf numFmtId="0" fontId="54" fillId="0" borderId="13" xfId="0" applyFont="1" applyBorder="1" applyAlignment="1">
      <alignment horizontal="right" vertical="center" wrapText="1"/>
    </xf>
    <xf numFmtId="0" fontId="54" fillId="0" borderId="13" xfId="0" applyFont="1" applyBorder="1" applyAlignment="1">
      <alignment horizontal="center" vertical="center" wrapText="1"/>
    </xf>
    <xf numFmtId="49" fontId="54" fillId="0" borderId="13" xfId="0" applyNumberFormat="1" applyFont="1" applyBorder="1" applyAlignment="1">
      <alignment horizontal="right" vertical="top" wrapText="1"/>
    </xf>
    <xf numFmtId="0" fontId="73" fillId="0" borderId="13" xfId="0" applyFont="1" applyBorder="1" applyAlignment="1">
      <alignment horizontal="center" wrapText="1"/>
    </xf>
    <xf numFmtId="0" fontId="58" fillId="0" borderId="13" xfId="8" applyFont="1" applyBorder="1" applyAlignment="1">
      <alignment wrapText="1"/>
    </xf>
    <xf numFmtId="0" fontId="55" fillId="0" borderId="13" xfId="8" applyFont="1" applyBorder="1" applyAlignment="1">
      <alignment horizontal="right" wrapText="1"/>
    </xf>
    <xf numFmtId="0" fontId="32" fillId="0" borderId="13" xfId="8" applyFont="1" applyBorder="1" applyAlignment="1">
      <alignment horizontal="center" vertical="center" wrapText="1"/>
    </xf>
    <xf numFmtId="16" fontId="54" fillId="0" borderId="13" xfId="0" applyNumberFormat="1" applyFont="1" applyBorder="1" applyAlignment="1">
      <alignment horizontal="right" vertical="top" wrapText="1"/>
    </xf>
    <xf numFmtId="0" fontId="59" fillId="0" borderId="13" xfId="8" applyFont="1" applyBorder="1" applyAlignment="1">
      <alignment wrapText="1"/>
    </xf>
    <xf numFmtId="0" fontId="54" fillId="0" borderId="13" xfId="8" applyFont="1" applyBorder="1" applyAlignment="1">
      <alignment wrapText="1"/>
    </xf>
    <xf numFmtId="0" fontId="58" fillId="0" borderId="13" xfId="0" applyFont="1" applyBorder="1" applyAlignment="1">
      <alignment horizontal="right" vertical="top" wrapText="1"/>
    </xf>
    <xf numFmtId="0" fontId="63" fillId="0" borderId="13" xfId="0" applyFont="1" applyBorder="1" applyAlignment="1">
      <alignment horizontal="left" vertical="top" wrapText="1"/>
    </xf>
    <xf numFmtId="0" fontId="61" fillId="0" borderId="13" xfId="8" applyFont="1" applyBorder="1" applyAlignment="1">
      <alignment horizontal="right" wrapText="1"/>
    </xf>
    <xf numFmtId="0" fontId="54" fillId="0" borderId="13" xfId="8" applyFont="1" applyBorder="1" applyAlignment="1">
      <alignment horizontal="right" wrapText="1"/>
    </xf>
    <xf numFmtId="0" fontId="59" fillId="0" borderId="0" xfId="8" applyFont="1" applyAlignment="1">
      <alignment horizontal="left" vertical="top" wrapText="1"/>
    </xf>
    <xf numFmtId="0" fontId="59" fillId="0" borderId="0" xfId="0" applyFont="1" applyAlignment="1">
      <alignment horizontal="right" vertical="top" wrapText="1"/>
    </xf>
    <xf numFmtId="0" fontId="63" fillId="0" borderId="0" xfId="0" applyFont="1" applyAlignment="1">
      <alignment horizontal="right" vertical="top" wrapText="1"/>
    </xf>
    <xf numFmtId="0" fontId="59" fillId="0" borderId="0" xfId="8" applyFont="1" applyAlignment="1">
      <alignment horizontal="right" vertical="top" wrapText="1"/>
    </xf>
    <xf numFmtId="0" fontId="60" fillId="0" borderId="0" xfId="8" applyFont="1" applyAlignment="1">
      <alignment wrapText="1"/>
    </xf>
    <xf numFmtId="0" fontId="60" fillId="0" borderId="0" xfId="8" applyFont="1" applyAlignment="1">
      <alignment horizontal="center" wrapText="1"/>
    </xf>
    <xf numFmtId="4" fontId="32" fillId="0" borderId="0" xfId="8" applyNumberFormat="1" applyFont="1" applyAlignment="1">
      <alignment horizontal="center" wrapText="1"/>
    </xf>
    <xf numFmtId="4" fontId="32" fillId="0" borderId="0" xfId="8" applyNumberFormat="1" applyFont="1" applyAlignment="1">
      <alignment wrapText="1"/>
    </xf>
    <xf numFmtId="0" fontId="58" fillId="0" borderId="0" xfId="8" applyFont="1" applyAlignment="1">
      <alignment horizontal="left" vertical="top" wrapText="1"/>
    </xf>
    <xf numFmtId="0" fontId="60" fillId="0" borderId="0" xfId="0" applyFont="1" applyAlignment="1">
      <alignment horizontal="right" vertical="top" wrapText="1"/>
    </xf>
    <xf numFmtId="0" fontId="69" fillId="0" borderId="0" xfId="0" applyFont="1" applyAlignment="1">
      <alignment horizontal="right" vertical="top" wrapText="1"/>
    </xf>
    <xf numFmtId="0" fontId="58" fillId="0" borderId="0" xfId="0" applyFont="1" applyAlignment="1">
      <alignment horizontal="right" vertical="center" wrapText="1"/>
    </xf>
    <xf numFmtId="0" fontId="71" fillId="0" borderId="0" xfId="0" applyFont="1" applyAlignment="1">
      <alignment horizontal="right" vertical="center" wrapText="1"/>
    </xf>
    <xf numFmtId="0" fontId="58" fillId="0" borderId="0" xfId="8" applyFont="1" applyAlignment="1">
      <alignment horizontal="right" vertical="top" wrapText="1"/>
    </xf>
    <xf numFmtId="0" fontId="69" fillId="0" borderId="0" xfId="8" applyFont="1" applyAlignment="1">
      <alignment wrapText="1"/>
    </xf>
    <xf numFmtId="0" fontId="69" fillId="0" borderId="0" xfId="8" applyFont="1" applyAlignment="1">
      <alignment horizontal="center" wrapText="1"/>
    </xf>
    <xf numFmtId="4" fontId="55" fillId="0" borderId="0" xfId="8" applyNumberFormat="1" applyFont="1" applyAlignment="1">
      <alignment wrapText="1"/>
    </xf>
    <xf numFmtId="0" fontId="72" fillId="0" borderId="0" xfId="8" applyFont="1" applyAlignment="1">
      <alignment horizontal="left" vertical="top" wrapText="1"/>
    </xf>
    <xf numFmtId="0" fontId="72" fillId="0" borderId="0" xfId="8" applyFont="1" applyAlignment="1">
      <alignment horizontal="right" vertical="top" wrapText="1"/>
    </xf>
    <xf numFmtId="0" fontId="75" fillId="0" borderId="0" xfId="0" applyFont="1" applyAlignment="1">
      <alignment horizontal="center" vertical="center" wrapText="1" shrinkToFit="1"/>
    </xf>
    <xf numFmtId="0" fontId="76" fillId="0" borderId="0" xfId="0" applyFont="1" applyAlignment="1">
      <alignment horizontal="center" vertical="center" wrapText="1" shrinkToFit="1"/>
    </xf>
    <xf numFmtId="4" fontId="76" fillId="0" borderId="0" xfId="0" applyNumberFormat="1" applyFont="1" applyAlignment="1">
      <alignment horizontal="center" vertical="center"/>
    </xf>
    <xf numFmtId="0" fontId="77" fillId="0" borderId="0" xfId="0" applyFont="1" applyAlignment="1">
      <alignment horizontal="center" vertical="center"/>
    </xf>
    <xf numFmtId="0" fontId="72" fillId="0" borderId="0" xfId="0" applyFont="1" applyAlignment="1">
      <alignment horizontal="left" vertical="top" wrapText="1" shrinkToFit="1"/>
    </xf>
    <xf numFmtId="0" fontId="78" fillId="0" borderId="13" xfId="0" applyFont="1" applyBorder="1" applyAlignment="1">
      <alignment horizontal="center" vertical="center"/>
    </xf>
    <xf numFmtId="0" fontId="79" fillId="0" borderId="13" xfId="0" applyFont="1" applyBorder="1" applyAlignment="1">
      <alignment horizontal="center" vertical="center"/>
    </xf>
    <xf numFmtId="0" fontId="80" fillId="0" borderId="13" xfId="0" applyFont="1" applyBorder="1" applyAlignment="1">
      <alignment horizontal="center" vertical="center"/>
    </xf>
    <xf numFmtId="0" fontId="0" fillId="0" borderId="13" xfId="0" applyBorder="1" applyAlignment="1">
      <alignment horizontal="center" vertical="center"/>
    </xf>
    <xf numFmtId="0" fontId="79" fillId="0" borderId="0" xfId="0" applyFont="1" applyAlignment="1">
      <alignment horizontal="center" vertical="center"/>
    </xf>
    <xf numFmtId="0" fontId="0" fillId="0" borderId="0" xfId="0" applyAlignment="1">
      <alignment horizontal="center" vertical="center"/>
    </xf>
    <xf numFmtId="0" fontId="80" fillId="0" borderId="13" xfId="0" applyFont="1" applyBorder="1" applyAlignment="1">
      <alignment horizontal="center" vertical="center" wrapText="1"/>
    </xf>
    <xf numFmtId="0" fontId="0" fillId="0" borderId="13" xfId="0" applyBorder="1" applyAlignment="1">
      <alignment horizontal="justify" vertical="top"/>
    </xf>
    <xf numFmtId="0" fontId="0" fillId="0" borderId="13" xfId="0" applyBorder="1" applyAlignment="1">
      <alignment horizontal="left" vertical="top" wrapText="1"/>
    </xf>
    <xf numFmtId="0" fontId="80" fillId="0" borderId="13" xfId="0" applyFont="1" applyBorder="1" applyAlignment="1">
      <alignment horizontal="justify" vertical="top"/>
    </xf>
    <xf numFmtId="0" fontId="0" fillId="0" borderId="13" xfId="0" applyBorder="1" applyAlignment="1">
      <alignment horizontal="left" vertical="top"/>
    </xf>
    <xf numFmtId="4" fontId="0" fillId="0" borderId="13" xfId="0" applyNumberFormat="1" applyBorder="1" applyAlignment="1">
      <alignment horizontal="center" vertical="center"/>
    </xf>
    <xf numFmtId="0" fontId="80" fillId="0" borderId="13" xfId="0" applyFont="1" applyBorder="1" applyAlignment="1">
      <alignment horizontal="justify"/>
    </xf>
    <xf numFmtId="0" fontId="0" fillId="0" borderId="13" xfId="0" applyBorder="1"/>
    <xf numFmtId="0" fontId="80" fillId="0" borderId="13" xfId="0" applyFont="1" applyBorder="1" applyAlignment="1">
      <alignment horizontal="left" vertical="top" wrapText="1"/>
    </xf>
    <xf numFmtId="4" fontId="80" fillId="0" borderId="13" xfId="0" applyNumberFormat="1" applyFont="1" applyBorder="1" applyAlignment="1">
      <alignment horizontal="center" vertical="center"/>
    </xf>
    <xf numFmtId="0" fontId="80" fillId="0" borderId="0" xfId="0" applyFont="1" applyAlignment="1">
      <alignment horizontal="center" vertical="center"/>
    </xf>
    <xf numFmtId="0" fontId="79" fillId="0" borderId="17" xfId="0" applyFont="1" applyBorder="1" applyAlignment="1">
      <alignment horizontal="center" vertical="center"/>
    </xf>
    <xf numFmtId="0" fontId="79" fillId="0" borderId="18" xfId="0" applyFont="1" applyBorder="1" applyAlignment="1">
      <alignment horizontal="center" vertical="center" wrapText="1"/>
    </xf>
    <xf numFmtId="0" fontId="0" fillId="0" borderId="18" xfId="0" applyBorder="1" applyAlignment="1">
      <alignment horizontal="center"/>
    </xf>
    <xf numFmtId="0" fontId="0" fillId="0" borderId="19" xfId="0" applyBorder="1" applyAlignment="1">
      <alignment horizontal="center"/>
    </xf>
    <xf numFmtId="0" fontId="79" fillId="0" borderId="0" xfId="0" applyFont="1" applyAlignment="1">
      <alignment horizontal="center" vertical="center" wrapText="1"/>
    </xf>
    <xf numFmtId="0" fontId="0" fillId="0" borderId="0" xfId="0" applyAlignment="1">
      <alignment horizontal="center"/>
    </xf>
    <xf numFmtId="0" fontId="79" fillId="0" borderId="13" xfId="0" applyFont="1" applyBorder="1" applyAlignment="1">
      <alignment horizontal="center" vertical="top"/>
    </xf>
    <xf numFmtId="0" fontId="0" fillId="0" borderId="13" xfId="0" applyBorder="1" applyAlignment="1">
      <alignment horizontal="center"/>
    </xf>
    <xf numFmtId="4" fontId="0" fillId="0" borderId="13" xfId="0" applyNumberFormat="1" applyBorder="1" applyAlignment="1">
      <alignment horizontal="center"/>
    </xf>
    <xf numFmtId="0" fontId="79" fillId="0" borderId="0" xfId="0" applyFont="1" applyAlignment="1">
      <alignment horizontal="center"/>
    </xf>
    <xf numFmtId="0" fontId="79" fillId="0" borderId="13" xfId="0" applyFont="1" applyBorder="1" applyAlignment="1">
      <alignment horizontal="center"/>
    </xf>
    <xf numFmtId="0" fontId="79" fillId="0" borderId="13" xfId="11" applyFont="1" applyBorder="1" applyAlignment="1">
      <alignment horizontal="center" vertical="center" wrapText="1"/>
    </xf>
    <xf numFmtId="0" fontId="81" fillId="0" borderId="13" xfId="11" applyFont="1" applyBorder="1" applyAlignment="1">
      <alignment horizontal="justify" vertical="center" wrapText="1"/>
    </xf>
    <xf numFmtId="0" fontId="81" fillId="0" borderId="13" xfId="11" applyFont="1" applyBorder="1" applyAlignment="1">
      <alignment horizontal="center" vertical="center" wrapText="1"/>
    </xf>
    <xf numFmtId="4" fontId="81" fillId="0" borderId="13" xfId="11" applyNumberFormat="1" applyFont="1" applyBorder="1" applyAlignment="1">
      <alignment horizontal="center" vertical="center" wrapText="1"/>
    </xf>
    <xf numFmtId="4" fontId="82" fillId="0" borderId="13" xfId="12" applyNumberFormat="1" applyFont="1" applyBorder="1" applyAlignment="1">
      <alignment horizontal="center" vertical="center" wrapText="1"/>
    </xf>
    <xf numFmtId="0" fontId="81" fillId="0" borderId="13" xfId="11" applyFont="1" applyBorder="1" applyAlignment="1">
      <alignment horizontal="left" vertical="center" wrapText="1"/>
    </xf>
    <xf numFmtId="0" fontId="79" fillId="0" borderId="0" xfId="0" applyFont="1"/>
    <xf numFmtId="0" fontId="79" fillId="0" borderId="13" xfId="12" applyFont="1" applyBorder="1" applyAlignment="1">
      <alignment horizontal="center" vertical="center" wrapText="1"/>
    </xf>
    <xf numFmtId="0" fontId="81" fillId="0" borderId="13" xfId="13" applyFont="1" applyBorder="1" applyAlignment="1">
      <alignment horizontal="justify" vertical="center" wrapText="1"/>
    </xf>
    <xf numFmtId="0" fontId="81" fillId="0" borderId="13" xfId="13" applyFont="1" applyBorder="1" applyAlignment="1">
      <alignment horizontal="center" vertical="center" wrapText="1"/>
    </xf>
    <xf numFmtId="4" fontId="83" fillId="0" borderId="13" xfId="13" applyNumberFormat="1" applyFont="1" applyBorder="1" applyAlignment="1">
      <alignment horizontal="center" vertical="center" wrapText="1"/>
    </xf>
    <xf numFmtId="49" fontId="79" fillId="0" borderId="13" xfId="12" applyNumberFormat="1" applyFont="1" applyBorder="1" applyAlignment="1">
      <alignment horizontal="center" vertical="center" wrapText="1"/>
    </xf>
    <xf numFmtId="0" fontId="81" fillId="0" borderId="13" xfId="13" applyFont="1" applyBorder="1" applyAlignment="1">
      <alignment horizontal="left" vertical="center" wrapText="1"/>
    </xf>
    <xf numFmtId="4" fontId="81" fillId="0" borderId="13" xfId="13" applyNumberFormat="1" applyFont="1" applyBorder="1" applyAlignment="1">
      <alignment horizontal="center" vertical="center" wrapText="1"/>
    </xf>
    <xf numFmtId="4" fontId="81" fillId="0" borderId="13" xfId="11" applyNumberFormat="1" applyFont="1" applyBorder="1" applyAlignment="1" applyProtection="1">
      <alignment horizontal="center" vertical="center" wrapText="1"/>
      <protection locked="0"/>
    </xf>
    <xf numFmtId="0" fontId="81" fillId="0" borderId="13" xfId="14" applyFont="1" applyBorder="1" applyAlignment="1">
      <alignment horizontal="justify" vertical="center" wrapText="1"/>
    </xf>
    <xf numFmtId="0" fontId="81" fillId="0" borderId="13" xfId="15" applyFont="1" applyBorder="1" applyAlignment="1">
      <alignment horizontal="center" vertical="center" wrapText="1"/>
    </xf>
    <xf numFmtId="4" fontId="81" fillId="0" borderId="13" xfId="15" applyNumberFormat="1" applyFont="1" applyBorder="1" applyAlignment="1">
      <alignment horizontal="center" vertical="center" wrapText="1"/>
    </xf>
    <xf numFmtId="16" fontId="79" fillId="0" borderId="13" xfId="11" applyNumberFormat="1" applyFont="1" applyBorder="1" applyAlignment="1">
      <alignment horizontal="center" vertical="center" wrapText="1"/>
    </xf>
    <xf numFmtId="0" fontId="79" fillId="0" borderId="0" xfId="0" applyFont="1" applyAlignment="1">
      <alignment horizontal="center" vertical="top"/>
    </xf>
    <xf numFmtId="0" fontId="0" fillId="0" borderId="0" xfId="0" applyAlignment="1">
      <alignment horizontal="justify" vertical="top"/>
    </xf>
    <xf numFmtId="4" fontId="0" fillId="0" borderId="0" xfId="0" applyNumberFormat="1" applyAlignment="1">
      <alignment horizontal="center" vertical="center"/>
    </xf>
    <xf numFmtId="49" fontId="84" fillId="0" borderId="20" xfId="2" applyNumberFormat="1" applyFont="1" applyBorder="1" applyAlignment="1">
      <alignment horizontal="center" vertical="center" wrapText="1"/>
    </xf>
    <xf numFmtId="0" fontId="84" fillId="0" borderId="21" xfId="11" applyFont="1" applyBorder="1" applyAlignment="1">
      <alignment horizontal="center" vertical="center" wrapText="1"/>
    </xf>
    <xf numFmtId="0" fontId="84" fillId="0" borderId="21" xfId="2" applyFont="1" applyBorder="1" applyAlignment="1">
      <alignment horizontal="center" vertical="center" wrapText="1"/>
    </xf>
    <xf numFmtId="4" fontId="84" fillId="0" borderId="21" xfId="2" applyNumberFormat="1" applyFont="1" applyBorder="1" applyAlignment="1">
      <alignment horizontal="center" vertical="center" wrapText="1"/>
    </xf>
    <xf numFmtId="4" fontId="82" fillId="0" borderId="22" xfId="2" applyNumberFormat="1" applyFont="1" applyBorder="1" applyAlignment="1">
      <alignment horizontal="center" vertical="center" wrapText="1"/>
    </xf>
    <xf numFmtId="49" fontId="85" fillId="0" borderId="0" xfId="2" applyNumberFormat="1" applyFont="1" applyAlignment="1">
      <alignment horizontal="center" vertical="center" wrapText="1"/>
    </xf>
    <xf numFmtId="0" fontId="85" fillId="0" borderId="0" xfId="2" applyFont="1" applyAlignment="1">
      <alignment horizontal="center" vertical="center" wrapText="1"/>
    </xf>
    <xf numFmtId="4" fontId="85" fillId="0" borderId="0" xfId="2" applyNumberFormat="1" applyFont="1" applyAlignment="1">
      <alignment horizontal="center" vertical="center" wrapText="1"/>
    </xf>
    <xf numFmtId="4" fontId="86" fillId="0" borderId="0" xfId="2" applyNumberFormat="1" applyFont="1" applyAlignment="1">
      <alignment horizontal="center" vertical="center" wrapText="1"/>
    </xf>
    <xf numFmtId="0" fontId="79" fillId="0" borderId="15" xfId="2" applyFont="1" applyBorder="1" applyAlignment="1">
      <alignment horizontal="center" vertical="center" wrapText="1"/>
    </xf>
    <xf numFmtId="0" fontId="81" fillId="0" borderId="13" xfId="16" applyFont="1" applyBorder="1" applyAlignment="1">
      <alignment horizontal="justify" vertical="center"/>
    </xf>
    <xf numFmtId="0" fontId="87" fillId="0" borderId="13" xfId="2" applyFont="1" applyBorder="1" applyAlignment="1">
      <alignment horizontal="center" vertical="center" wrapText="1"/>
    </xf>
    <xf numFmtId="4" fontId="87" fillId="0" borderId="13" xfId="2" applyNumberFormat="1" applyFont="1" applyBorder="1" applyAlignment="1">
      <alignment horizontal="center" vertical="center" wrapText="1"/>
    </xf>
    <xf numFmtId="4" fontId="88" fillId="0" borderId="13" xfId="2" applyNumberFormat="1" applyFont="1" applyBorder="1" applyAlignment="1">
      <alignment horizontal="center" vertical="center" wrapText="1"/>
    </xf>
    <xf numFmtId="0" fontId="79" fillId="0" borderId="13" xfId="2" applyFont="1" applyBorder="1" applyAlignment="1">
      <alignment horizontal="center" vertical="center" wrapText="1"/>
    </xf>
    <xf numFmtId="0" fontId="84" fillId="0" borderId="13" xfId="16" applyFont="1" applyBorder="1" applyAlignment="1">
      <alignment horizontal="justify" vertical="center"/>
    </xf>
    <xf numFmtId="0" fontId="85" fillId="0" borderId="13" xfId="17" applyFont="1" applyBorder="1" applyAlignment="1">
      <alignment horizontal="center" vertical="center" wrapText="1"/>
    </xf>
    <xf numFmtId="4" fontId="85" fillId="0" borderId="13" xfId="17" applyNumberFormat="1" applyFont="1" applyBorder="1" applyAlignment="1">
      <alignment horizontal="center" vertical="center" wrapText="1"/>
    </xf>
    <xf numFmtId="4" fontId="82" fillId="0" borderId="13" xfId="11" applyNumberFormat="1" applyFont="1" applyBorder="1" applyAlignment="1">
      <alignment horizontal="center" vertical="center" wrapText="1"/>
    </xf>
    <xf numFmtId="0" fontId="81" fillId="0" borderId="13" xfId="11" applyFont="1" applyBorder="1" applyAlignment="1">
      <alignment vertical="center"/>
    </xf>
    <xf numFmtId="2" fontId="81" fillId="0" borderId="13" xfId="16" applyNumberFormat="1" applyFont="1" applyBorder="1" applyAlignment="1">
      <alignment horizontal="center" vertical="center"/>
    </xf>
    <xf numFmtId="0" fontId="16" fillId="0" borderId="0" xfId="11" applyFont="1" applyAlignment="1">
      <alignment horizontal="center" vertical="center" wrapText="1"/>
    </xf>
    <xf numFmtId="0" fontId="79" fillId="0" borderId="13" xfId="14" applyFont="1" applyBorder="1" applyAlignment="1">
      <alignment horizontal="center" vertical="center" wrapText="1"/>
    </xf>
    <xf numFmtId="0" fontId="81" fillId="0" borderId="13" xfId="14" quotePrefix="1" applyFont="1" applyBorder="1" applyAlignment="1">
      <alignment horizontal="justify" vertical="center" wrapText="1"/>
    </xf>
    <xf numFmtId="4" fontId="82" fillId="0" borderId="13" xfId="2" applyNumberFormat="1" applyFont="1" applyBorder="1" applyAlignment="1">
      <alignment horizontal="center" vertical="center" wrapText="1"/>
    </xf>
    <xf numFmtId="0" fontId="7" fillId="0" borderId="0" xfId="2" applyAlignment="1">
      <alignment horizontal="center" vertical="center" wrapText="1"/>
    </xf>
    <xf numFmtId="0" fontId="81" fillId="0" borderId="13" xfId="18" applyFont="1" applyBorder="1" applyAlignment="1">
      <alignment horizontal="justify" vertical="center" wrapText="1"/>
    </xf>
    <xf numFmtId="0" fontId="81" fillId="0" borderId="13" xfId="19" applyFont="1" applyBorder="1" applyAlignment="1">
      <alignment horizontal="center" vertical="center" wrapText="1"/>
    </xf>
    <xf numFmtId="4" fontId="81" fillId="0" borderId="13" xfId="19" applyNumberFormat="1" applyFont="1" applyBorder="1" applyAlignment="1">
      <alignment horizontal="center" vertical="center" wrapText="1"/>
    </xf>
    <xf numFmtId="4" fontId="81" fillId="0" borderId="13" xfId="18" applyNumberFormat="1" applyFont="1" applyBorder="1" applyAlignment="1">
      <alignment horizontal="center" vertical="center" wrapText="1"/>
    </xf>
    <xf numFmtId="0" fontId="81" fillId="0" borderId="13" xfId="18" applyFont="1" applyBorder="1" applyAlignment="1">
      <alignment horizontal="justify" vertical="center"/>
    </xf>
    <xf numFmtId="0" fontId="81" fillId="0" borderId="13" xfId="20" applyFont="1" applyBorder="1" applyAlignment="1">
      <alignment horizontal="justify" vertical="center" wrapText="1"/>
    </xf>
    <xf numFmtId="0" fontId="89" fillId="0" borderId="13" xfId="20" applyFont="1" applyBorder="1" applyAlignment="1">
      <alignment horizontal="center" vertical="center" wrapText="1"/>
    </xf>
    <xf numFmtId="4" fontId="89" fillId="0" borderId="13" xfId="20" applyNumberFormat="1" applyFont="1" applyBorder="1" applyAlignment="1">
      <alignment horizontal="center" vertical="center" wrapText="1"/>
    </xf>
    <xf numFmtId="4" fontId="81" fillId="0" borderId="5" xfId="11" applyNumberFormat="1" applyFont="1" applyBorder="1" applyAlignment="1">
      <alignment horizontal="center" vertical="center" wrapText="1"/>
    </xf>
    <xf numFmtId="4" fontId="82" fillId="0" borderId="13" xfId="20" applyNumberFormat="1" applyFont="1" applyBorder="1" applyAlignment="1">
      <alignment horizontal="center" vertical="center" wrapText="1"/>
    </xf>
    <xf numFmtId="0" fontId="79" fillId="0" borderId="3" xfId="20" applyFont="1" applyBorder="1" applyAlignment="1">
      <alignment horizontal="center" vertical="center" wrapText="1"/>
    </xf>
    <xf numFmtId="0" fontId="81" fillId="0" borderId="13" xfId="20" applyFont="1" applyBorder="1" applyAlignment="1">
      <alignment horizontal="center" vertical="center" wrapText="1"/>
    </xf>
    <xf numFmtId="4" fontId="81" fillId="0" borderId="13" xfId="20" applyNumberFormat="1" applyFont="1" applyBorder="1" applyAlignment="1">
      <alignment horizontal="center" vertical="center" wrapText="1"/>
    </xf>
    <xf numFmtId="0" fontId="79" fillId="0" borderId="13" xfId="2" applyFont="1" applyBorder="1"/>
    <xf numFmtId="0" fontId="81" fillId="0" borderId="13" xfId="2" applyFont="1" applyBorder="1" applyAlignment="1">
      <alignment horizontal="justify" vertical="center" wrapText="1"/>
    </xf>
    <xf numFmtId="4" fontId="81" fillId="0" borderId="13" xfId="2" applyNumberFormat="1" applyFont="1" applyBorder="1" applyAlignment="1">
      <alignment horizontal="center" vertical="center" wrapText="1"/>
    </xf>
    <xf numFmtId="0" fontId="81" fillId="0" borderId="13" xfId="2" applyFont="1" applyBorder="1" applyAlignment="1">
      <alignment horizontal="center" vertical="center" wrapText="1"/>
    </xf>
    <xf numFmtId="0" fontId="79" fillId="0" borderId="13" xfId="17" applyFont="1" applyBorder="1" applyAlignment="1">
      <alignment horizontal="center" vertical="center" wrapText="1"/>
    </xf>
    <xf numFmtId="0" fontId="81" fillId="0" borderId="13" xfId="11" applyFont="1" applyBorder="1" applyAlignment="1">
      <alignment horizontal="center"/>
    </xf>
    <xf numFmtId="0" fontId="81" fillId="0" borderId="13" xfId="2" applyFont="1" applyBorder="1" applyAlignment="1">
      <alignment horizontal="center" vertical="center"/>
    </xf>
    <xf numFmtId="0" fontId="81" fillId="0" borderId="13" xfId="2" applyFont="1" applyBorder="1" applyAlignment="1">
      <alignment horizontal="right" vertical="center"/>
    </xf>
    <xf numFmtId="0" fontId="81" fillId="0" borderId="13" xfId="2" applyFont="1" applyBorder="1" applyAlignment="1">
      <alignment horizontal="center"/>
    </xf>
    <xf numFmtId="0" fontId="90" fillId="0" borderId="13" xfId="11" applyFont="1" applyBorder="1" applyAlignment="1">
      <alignment horizontal="center" vertical="center" wrapText="1"/>
    </xf>
    <xf numFmtId="0" fontId="81" fillId="0" borderId="13" xfId="11" applyFont="1" applyBorder="1" applyAlignment="1">
      <alignment horizontal="center" vertical="center"/>
    </xf>
    <xf numFmtId="0" fontId="81" fillId="0" borderId="5" xfId="2" applyFont="1" applyBorder="1" applyAlignment="1">
      <alignment horizontal="justify" vertical="top" wrapText="1"/>
    </xf>
    <xf numFmtId="4" fontId="81" fillId="0" borderId="3" xfId="19" applyNumberFormat="1" applyFont="1" applyBorder="1" applyAlignment="1">
      <alignment horizontal="center" vertical="center" wrapText="1"/>
    </xf>
    <xf numFmtId="0" fontId="81" fillId="0" borderId="13" xfId="2" applyFont="1" applyBorder="1" applyAlignment="1">
      <alignment horizontal="left" vertical="center" wrapText="1"/>
    </xf>
    <xf numFmtId="4" fontId="81" fillId="0" borderId="3" xfId="2" applyNumberFormat="1" applyFont="1" applyBorder="1" applyAlignment="1">
      <alignment horizontal="center" vertical="center" wrapText="1"/>
    </xf>
    <xf numFmtId="49" fontId="87" fillId="0" borderId="0" xfId="2" applyNumberFormat="1" applyFont="1" applyAlignment="1">
      <alignment horizontal="center" vertical="center" wrapText="1"/>
    </xf>
    <xf numFmtId="0" fontId="87" fillId="0" borderId="0" xfId="2" applyFont="1" applyAlignment="1">
      <alignment horizontal="left" vertical="center" wrapText="1"/>
    </xf>
    <xf numFmtId="0" fontId="87" fillId="0" borderId="0" xfId="2" applyFont="1" applyAlignment="1">
      <alignment horizontal="center" vertical="center" wrapText="1"/>
    </xf>
    <xf numFmtId="4" fontId="87" fillId="0" borderId="0" xfId="2" applyNumberFormat="1" applyFont="1" applyAlignment="1">
      <alignment horizontal="center" vertical="center" wrapText="1"/>
    </xf>
    <xf numFmtId="4" fontId="88" fillId="0" borderId="0" xfId="2" applyNumberFormat="1" applyFont="1" applyAlignment="1">
      <alignment horizontal="center" vertical="center" wrapText="1"/>
    </xf>
    <xf numFmtId="49" fontId="79" fillId="0" borderId="20" xfId="2" applyNumberFormat="1" applyFont="1" applyBorder="1" applyAlignment="1">
      <alignment horizontal="center" vertical="center" wrapText="1"/>
    </xf>
    <xf numFmtId="49" fontId="91" fillId="0" borderId="0" xfId="2" applyNumberFormat="1" applyFont="1" applyAlignment="1">
      <alignment horizontal="center" vertical="center" wrapText="1"/>
    </xf>
    <xf numFmtId="0" fontId="79" fillId="0" borderId="0" xfId="2" applyFont="1" applyAlignment="1">
      <alignment horizontal="center" vertical="center" wrapText="1"/>
    </xf>
    <xf numFmtId="0" fontId="81" fillId="0" borderId="0" xfId="11" applyFont="1" applyAlignment="1">
      <alignment horizontal="justify" vertical="center" wrapText="1"/>
    </xf>
    <xf numFmtId="0" fontId="81" fillId="0" borderId="0" xfId="11" applyFont="1" applyAlignment="1">
      <alignment horizontal="center" vertical="center" wrapText="1"/>
    </xf>
    <xf numFmtId="4" fontId="81" fillId="0" borderId="0" xfId="11" applyNumberFormat="1" applyFont="1" applyAlignment="1">
      <alignment horizontal="center" vertical="center" wrapText="1"/>
    </xf>
    <xf numFmtId="4" fontId="82" fillId="0" borderId="0" xfId="11" applyNumberFormat="1" applyFont="1" applyAlignment="1">
      <alignment horizontal="center" vertical="center" wrapText="1"/>
    </xf>
    <xf numFmtId="0" fontId="81" fillId="0" borderId="0" xfId="2" applyFont="1" applyAlignment="1">
      <alignment horizontal="center" vertical="center" wrapText="1"/>
    </xf>
    <xf numFmtId="4" fontId="81" fillId="0" borderId="0" xfId="2" applyNumberFormat="1" applyFont="1" applyAlignment="1">
      <alignment horizontal="center" vertical="center" wrapText="1"/>
    </xf>
    <xf numFmtId="4" fontId="82" fillId="0" borderId="0" xfId="2" applyNumberFormat="1" applyFont="1" applyAlignment="1">
      <alignment horizontal="center" vertical="center" wrapText="1"/>
    </xf>
    <xf numFmtId="0" fontId="81" fillId="0" borderId="0" xfId="2" applyFont="1" applyAlignment="1">
      <alignment horizontal="justify" vertical="center" wrapText="1"/>
    </xf>
    <xf numFmtId="0" fontId="81" fillId="0" borderId="0" xfId="2" applyFont="1" applyAlignment="1">
      <alignment horizontal="center" vertical="center"/>
    </xf>
    <xf numFmtId="0" fontId="79" fillId="0" borderId="0" xfId="17" applyFont="1" applyAlignment="1">
      <alignment horizontal="center" vertical="center" wrapText="1"/>
    </xf>
    <xf numFmtId="0" fontId="81" fillId="0" borderId="0" xfId="19" applyFont="1" applyAlignment="1">
      <alignment horizontal="center" vertical="center" wrapText="1"/>
    </xf>
    <xf numFmtId="4" fontId="81" fillId="0" borderId="0" xfId="19" applyNumberFormat="1" applyFont="1" applyAlignment="1">
      <alignment horizontal="center" vertical="center" wrapText="1"/>
    </xf>
    <xf numFmtId="4" fontId="82" fillId="0" borderId="0" xfId="12" applyNumberFormat="1" applyFont="1" applyAlignment="1">
      <alignment horizontal="center" vertical="center" wrapText="1"/>
    </xf>
    <xf numFmtId="0" fontId="79" fillId="0" borderId="0" xfId="11" applyFont="1" applyAlignment="1">
      <alignment horizontal="center" vertical="center" wrapText="1"/>
    </xf>
    <xf numFmtId="49" fontId="92" fillId="0" borderId="0" xfId="2" applyNumberFormat="1" applyFont="1" applyAlignment="1">
      <alignment horizontal="center" vertical="center" wrapText="1"/>
    </xf>
    <xf numFmtId="49" fontId="79" fillId="0" borderId="17" xfId="2" applyNumberFormat="1" applyFont="1" applyBorder="1" applyAlignment="1">
      <alignment horizontal="center" vertical="center" wrapText="1"/>
    </xf>
    <xf numFmtId="0" fontId="84" fillId="0" borderId="18" xfId="11" applyFont="1" applyBorder="1" applyAlignment="1">
      <alignment horizontal="center" vertical="center" wrapText="1"/>
    </xf>
    <xf numFmtId="0" fontId="84" fillId="0" borderId="18" xfId="2" applyFont="1" applyBorder="1" applyAlignment="1">
      <alignment horizontal="center" vertical="center" wrapText="1"/>
    </xf>
    <xf numFmtId="4" fontId="84" fillId="0" borderId="18" xfId="2" applyNumberFormat="1" applyFont="1" applyBorder="1" applyAlignment="1">
      <alignment horizontal="center" vertical="center" wrapText="1"/>
    </xf>
    <xf numFmtId="4" fontId="82" fillId="0" borderId="19" xfId="2" applyNumberFormat="1" applyFont="1" applyBorder="1" applyAlignment="1">
      <alignment horizontal="center" vertical="center" wrapText="1"/>
    </xf>
    <xf numFmtId="0" fontId="81" fillId="0" borderId="0" xfId="14" quotePrefix="1" applyFont="1" applyAlignment="1">
      <alignment horizontal="justify" vertical="center" wrapText="1"/>
    </xf>
    <xf numFmtId="0" fontId="81" fillId="0" borderId="13" xfId="14" quotePrefix="1" applyFont="1" applyBorder="1" applyAlignment="1">
      <alignment horizontal="left" vertical="center"/>
    </xf>
    <xf numFmtId="0" fontId="81" fillId="0" borderId="0" xfId="18" applyFont="1" applyAlignment="1">
      <alignment horizontal="justify" vertical="center" wrapText="1"/>
    </xf>
    <xf numFmtId="43" fontId="0" fillId="0" borderId="13" xfId="0" applyNumberFormat="1" applyBorder="1" applyAlignment="1">
      <alignment horizontal="center" vertical="center"/>
    </xf>
    <xf numFmtId="0" fontId="81" fillId="0" borderId="0" xfId="14" applyFont="1" applyAlignment="1">
      <alignment horizontal="justify" vertical="center" wrapText="1"/>
    </xf>
    <xf numFmtId="43" fontId="0" fillId="0" borderId="0" xfId="0" applyNumberFormat="1" applyAlignment="1">
      <alignment horizontal="center" vertical="center"/>
    </xf>
    <xf numFmtId="0" fontId="79" fillId="0" borderId="13" xfId="0" applyFont="1" applyBorder="1"/>
    <xf numFmtId="0" fontId="0" fillId="0" borderId="13" xfId="0" applyBorder="1" applyAlignment="1">
      <alignment horizontal="left" wrapText="1"/>
    </xf>
    <xf numFmtId="0" fontId="0" fillId="0" borderId="13" xfId="0" applyBorder="1" applyAlignment="1">
      <alignment wrapText="1"/>
    </xf>
    <xf numFmtId="43" fontId="80" fillId="0" borderId="13" xfId="0" applyNumberFormat="1" applyFont="1" applyBorder="1" applyAlignment="1">
      <alignment horizontal="center" vertical="center"/>
    </xf>
    <xf numFmtId="0" fontId="84" fillId="0" borderId="20" xfId="2" applyFont="1" applyBorder="1" applyAlignment="1">
      <alignment horizontal="center" vertical="center" wrapText="1"/>
    </xf>
    <xf numFmtId="4" fontId="84" fillId="0" borderId="23" xfId="2" applyNumberFormat="1" applyFont="1" applyBorder="1" applyAlignment="1">
      <alignment horizontal="center" vertical="center" wrapText="1"/>
    </xf>
    <xf numFmtId="0" fontId="84" fillId="0" borderId="0" xfId="2" applyFont="1" applyAlignment="1">
      <alignment horizontal="center" vertical="center" wrapText="1"/>
    </xf>
    <xf numFmtId="49" fontId="84" fillId="0" borderId="23" xfId="2" applyNumberFormat="1" applyFont="1" applyBorder="1" applyAlignment="1">
      <alignment horizontal="center" vertical="center" wrapText="1"/>
    </xf>
    <xf numFmtId="0" fontId="84" fillId="0" borderId="23" xfId="2" applyFont="1" applyBorder="1" applyAlignment="1">
      <alignment horizontal="left" vertical="center" wrapText="1"/>
    </xf>
    <xf numFmtId="4" fontId="84" fillId="0" borderId="22" xfId="2" applyNumberFormat="1" applyFont="1" applyBorder="1" applyAlignment="1">
      <alignment horizontal="center" vertical="center" wrapText="1"/>
    </xf>
    <xf numFmtId="49" fontId="84" fillId="0" borderId="24" xfId="2" applyNumberFormat="1" applyFont="1" applyBorder="1" applyAlignment="1">
      <alignment horizontal="center" vertical="center" wrapText="1"/>
    </xf>
    <xf numFmtId="0" fontId="84" fillId="0" borderId="24" xfId="2" applyFont="1" applyBorder="1" applyAlignment="1">
      <alignment horizontal="left" vertical="center" wrapText="1"/>
    </xf>
    <xf numFmtId="4" fontId="84" fillId="0" borderId="25" xfId="2" applyNumberFormat="1" applyFont="1" applyBorder="1" applyAlignment="1">
      <alignment horizontal="center" vertical="center" wrapText="1"/>
    </xf>
    <xf numFmtId="49" fontId="84" fillId="0" borderId="0" xfId="2" applyNumberFormat="1" applyFont="1" applyAlignment="1">
      <alignment horizontal="center" vertical="center" wrapText="1"/>
    </xf>
    <xf numFmtId="4" fontId="84" fillId="0" borderId="0" xfId="2" applyNumberFormat="1" applyFont="1" applyAlignment="1">
      <alignment horizontal="center" vertical="center" wrapText="1"/>
    </xf>
    <xf numFmtId="0" fontId="84" fillId="0" borderId="23" xfId="2" applyFont="1" applyBorder="1" applyAlignment="1">
      <alignment horizontal="center" vertical="center" wrapText="1"/>
    </xf>
    <xf numFmtId="0" fontId="91" fillId="0" borderId="0" xfId="0" applyFont="1" applyAlignment="1">
      <alignment vertical="justify" wrapText="1"/>
    </xf>
    <xf numFmtId="0" fontId="94" fillId="0" borderId="0" xfId="0" applyFont="1" applyAlignment="1">
      <alignment vertical="justify" wrapText="1"/>
    </xf>
    <xf numFmtId="166" fontId="7" fillId="0" borderId="9" xfId="0" applyNumberFormat="1" applyFont="1" applyBorder="1" applyAlignment="1">
      <alignment horizontal="center" vertical="top" wrapText="1"/>
    </xf>
    <xf numFmtId="4" fontId="7" fillId="0" borderId="9" xfId="0" applyNumberFormat="1" applyFont="1" applyBorder="1" applyAlignment="1">
      <alignment horizontal="center" vertical="top" wrapText="1"/>
    </xf>
    <xf numFmtId="0" fontId="26" fillId="0" borderId="0" xfId="0" applyFont="1" applyAlignment="1">
      <alignment vertical="justify" wrapText="1"/>
    </xf>
    <xf numFmtId="166" fontId="7" fillId="0" borderId="0" xfId="0" applyNumberFormat="1" applyFont="1" applyAlignment="1">
      <alignment horizontal="center" vertical="top" wrapText="1"/>
    </xf>
    <xf numFmtId="4" fontId="7" fillId="0" borderId="0" xfId="0" applyNumberFormat="1" applyFont="1" applyAlignment="1">
      <alignment horizontal="center" vertical="top" wrapText="1"/>
    </xf>
    <xf numFmtId="0" fontId="97" fillId="0" borderId="0" xfId="0" applyFont="1" applyAlignment="1">
      <alignment horizontal="left" vertical="top" wrapText="1"/>
    </xf>
    <xf numFmtId="0" fontId="96" fillId="0" borderId="0" xfId="21" applyFont="1" applyAlignment="1">
      <alignment vertical="justify" wrapText="1"/>
    </xf>
    <xf numFmtId="0" fontId="96" fillId="9" borderId="0" xfId="21" applyFont="1" applyFill="1" applyAlignment="1">
      <alignment horizontal="justify" vertical="top" wrapText="1"/>
    </xf>
    <xf numFmtId="0" fontId="96" fillId="0" borderId="0" xfId="21" applyFont="1" applyAlignment="1">
      <alignment horizontal="justify" vertical="top" wrapText="1"/>
    </xf>
    <xf numFmtId="0" fontId="94" fillId="0" borderId="11" xfId="21" applyFont="1" applyBorder="1" applyAlignment="1">
      <alignment horizontal="justify" wrapText="1"/>
    </xf>
    <xf numFmtId="0" fontId="94" fillId="0" borderId="0" xfId="21" applyFont="1" applyAlignment="1">
      <alignment horizontal="justify" wrapText="1"/>
    </xf>
    <xf numFmtId="0" fontId="95" fillId="0" borderId="0" xfId="21" applyFont="1" applyAlignment="1" applyProtection="1">
      <alignment horizontal="justify" vertical="top" wrapText="1"/>
      <protection locked="0"/>
    </xf>
    <xf numFmtId="0" fontId="7" fillId="0" borderId="0" xfId="0" applyFont="1" applyAlignment="1">
      <alignment horizontal="justify" vertical="top" wrapText="1"/>
    </xf>
    <xf numFmtId="0" fontId="94" fillId="0" borderId="0" xfId="21" applyFont="1" applyAlignment="1">
      <alignment horizontal="justify" vertical="top" wrapText="1"/>
    </xf>
    <xf numFmtId="0" fontId="94" fillId="0" borderId="0" xfId="21" applyFont="1" applyAlignment="1">
      <alignment vertical="justify" wrapText="1"/>
    </xf>
    <xf numFmtId="0" fontId="94" fillId="0" borderId="0" xfId="21" applyFont="1" applyAlignment="1">
      <alignment horizontal="justify" vertical="justify" wrapText="1"/>
    </xf>
    <xf numFmtId="0" fontId="94" fillId="0" borderId="11" xfId="21" applyFont="1" applyBorder="1" applyAlignment="1">
      <alignment horizontal="justify" vertical="justify" wrapText="1"/>
    </xf>
    <xf numFmtId="0" fontId="27" fillId="0" borderId="0" xfId="21" applyFont="1" applyAlignment="1">
      <alignment horizontal="justify" vertical="top" wrapText="1"/>
    </xf>
    <xf numFmtId="0" fontId="94" fillId="0" borderId="11" xfId="21" applyFont="1" applyBorder="1" applyAlignment="1">
      <alignment vertical="justify" wrapText="1"/>
    </xf>
    <xf numFmtId="0" fontId="95" fillId="9" borderId="0" xfId="21" applyFont="1" applyFill="1" applyAlignment="1">
      <alignment vertical="justify" wrapText="1"/>
    </xf>
    <xf numFmtId="0" fontId="95" fillId="0" borderId="0" xfId="21" applyFont="1" applyAlignment="1">
      <alignment vertical="justify" wrapText="1"/>
    </xf>
    <xf numFmtId="0" fontId="96" fillId="9" borderId="0" xfId="21" applyFont="1" applyFill="1" applyAlignment="1">
      <alignment vertical="justify" wrapText="1"/>
    </xf>
    <xf numFmtId="0" fontId="7" fillId="0" borderId="0" xfId="0" applyFont="1" applyAlignment="1">
      <alignment horizontal="justify" vertical="justify" wrapText="1"/>
    </xf>
    <xf numFmtId="0" fontId="0" fillId="0" borderId="0" xfId="0" applyAlignment="1">
      <alignment horizontal="justify" vertical="justify" wrapText="1"/>
    </xf>
    <xf numFmtId="0" fontId="94" fillId="0" borderId="0" xfId="21" applyFont="1" applyAlignment="1">
      <alignment horizontal="left" vertical="top" wrapText="1"/>
    </xf>
    <xf numFmtId="0" fontId="31" fillId="0" borderId="0" xfId="21" applyFont="1" applyAlignment="1">
      <alignment vertical="justify" wrapText="1"/>
    </xf>
    <xf numFmtId="0" fontId="94" fillId="0" borderId="0" xfId="0" quotePrefix="1" applyFont="1" applyAlignment="1">
      <alignment horizontal="left" vertical="center" wrapText="1"/>
    </xf>
    <xf numFmtId="0" fontId="94" fillId="0" borderId="0" xfId="23" applyFont="1" applyAlignment="1">
      <alignment horizontal="justify" vertical="justify" wrapText="1"/>
    </xf>
    <xf numFmtId="0" fontId="94" fillId="0" borderId="0" xfId="23" applyFont="1" applyAlignment="1">
      <alignment vertical="justify" wrapText="1"/>
    </xf>
    <xf numFmtId="4" fontId="95" fillId="9" borderId="0" xfId="21" applyNumberFormat="1" applyFont="1" applyFill="1" applyAlignment="1">
      <alignment horizontal="justify" vertical="top" wrapText="1"/>
    </xf>
    <xf numFmtId="0" fontId="96" fillId="9" borderId="0" xfId="0" applyFont="1" applyFill="1" applyAlignment="1">
      <alignment vertical="justify" wrapText="1"/>
    </xf>
    <xf numFmtId="0" fontId="100" fillId="0" borderId="0" xfId="21" applyFont="1" applyAlignment="1">
      <alignment vertical="justify" wrapText="1"/>
    </xf>
    <xf numFmtId="0" fontId="94" fillId="0" borderId="0" xfId="21" applyFont="1" applyAlignment="1">
      <alignment vertical="top" wrapText="1"/>
    </xf>
    <xf numFmtId="0" fontId="102" fillId="0" borderId="0" xfId="21" applyFont="1" applyAlignment="1">
      <alignment horizontal="justify" vertical="top" wrapText="1"/>
    </xf>
    <xf numFmtId="49" fontId="95" fillId="0" borderId="0" xfId="21" applyNumberFormat="1" applyFont="1" applyAlignment="1">
      <alignment horizontal="center" vertical="top" wrapText="1"/>
    </xf>
    <xf numFmtId="0" fontId="26" fillId="0" borderId="0" xfId="21" applyFont="1" applyAlignment="1">
      <alignment vertical="top" wrapText="1"/>
    </xf>
    <xf numFmtId="0" fontId="103" fillId="9" borderId="0" xfId="21" applyFont="1" applyFill="1" applyAlignment="1">
      <alignment vertical="justify" wrapText="1"/>
    </xf>
    <xf numFmtId="0" fontId="103" fillId="9" borderId="0" xfId="21" applyFont="1" applyFill="1" applyAlignment="1">
      <alignment horizontal="justify" vertical="top" wrapText="1"/>
    </xf>
    <xf numFmtId="0" fontId="94" fillId="0" borderId="0" xfId="0" applyFont="1" applyAlignment="1">
      <alignment horizontal="left" vertical="top" wrapText="1"/>
    </xf>
    <xf numFmtId="0" fontId="94" fillId="0" borderId="0" xfId="0" applyFont="1" applyAlignment="1">
      <alignment wrapText="1"/>
    </xf>
    <xf numFmtId="0" fontId="94" fillId="0" borderId="11" xfId="0" applyFont="1" applyBorder="1" applyAlignment="1">
      <alignment wrapText="1"/>
    </xf>
    <xf numFmtId="0" fontId="96" fillId="5" borderId="0" xfId="21" applyFont="1" applyFill="1" applyAlignment="1">
      <alignment vertical="justify" wrapText="1"/>
    </xf>
    <xf numFmtId="0" fontId="26" fillId="0" borderId="0" xfId="21" applyFont="1" applyAlignment="1">
      <alignment horizontal="justify" vertical="top" wrapText="1"/>
    </xf>
    <xf numFmtId="0" fontId="94" fillId="0" borderId="0" xfId="0" applyFont="1" applyAlignment="1">
      <alignment horizontal="justify" vertical="top" wrapText="1"/>
    </xf>
    <xf numFmtId="0" fontId="94" fillId="0" borderId="0" xfId="0" applyFont="1" applyAlignment="1">
      <alignment vertical="top" wrapText="1"/>
    </xf>
    <xf numFmtId="0" fontId="94" fillId="0" borderId="0" xfId="0" applyFont="1" applyAlignment="1">
      <alignment horizontal="justify" vertical="center" wrapText="1"/>
    </xf>
    <xf numFmtId="0" fontId="16" fillId="0" borderId="0" xfId="21" applyFont="1" applyAlignment="1">
      <alignment horizontal="justify" vertical="top" wrapText="1"/>
    </xf>
    <xf numFmtId="0" fontId="114" fillId="0" borderId="0" xfId="21" applyFont="1" applyAlignment="1">
      <alignment vertical="justify" wrapText="1"/>
    </xf>
    <xf numFmtId="0" fontId="93" fillId="0" borderId="0" xfId="21" applyFont="1" applyAlignment="1">
      <alignment vertical="justify" wrapText="1"/>
    </xf>
    <xf numFmtId="0" fontId="96" fillId="9" borderId="0" xfId="21" applyFont="1" applyFill="1" applyAlignment="1">
      <alignment horizontal="center" vertical="top" wrapText="1"/>
    </xf>
    <xf numFmtId="0" fontId="96" fillId="9" borderId="0" xfId="21" applyFont="1" applyFill="1" applyAlignment="1">
      <alignment vertical="top" wrapText="1"/>
    </xf>
    <xf numFmtId="0" fontId="93" fillId="0" borderId="0" xfId="0" applyFont="1" applyAlignment="1">
      <alignment horizontal="centerContinuous" vertical="top" wrapText="1"/>
    </xf>
    <xf numFmtId="0" fontId="94" fillId="0" borderId="0" xfId="0" applyFont="1" applyAlignment="1">
      <alignment horizontal="center" vertical="center" wrapText="1"/>
    </xf>
    <xf numFmtId="4" fontId="94" fillId="0" borderId="0" xfId="0" applyNumberFormat="1" applyFont="1" applyAlignment="1">
      <alignment horizontal="centerContinuous" vertical="center" wrapText="1"/>
    </xf>
    <xf numFmtId="4" fontId="94" fillId="0" borderId="0" xfId="0" applyNumberFormat="1" applyFont="1" applyAlignment="1">
      <alignment horizontal="centerContinuous" wrapText="1"/>
    </xf>
    <xf numFmtId="0" fontId="95" fillId="0" borderId="0" xfId="0" applyFont="1" applyAlignment="1">
      <alignment horizontal="center" vertical="top" wrapText="1"/>
    </xf>
    <xf numFmtId="0" fontId="96" fillId="0" borderId="0" xfId="0" applyFont="1" applyAlignment="1">
      <alignment horizontal="center" vertical="top" wrapText="1"/>
    </xf>
    <xf numFmtId="0" fontId="94" fillId="0" borderId="0" xfId="0" applyFont="1" applyAlignment="1">
      <alignment horizontal="center" wrapText="1"/>
    </xf>
    <xf numFmtId="4" fontId="94" fillId="0" borderId="0" xfId="0" applyNumberFormat="1" applyFont="1" applyAlignment="1">
      <alignment wrapText="1"/>
    </xf>
    <xf numFmtId="0" fontId="96" fillId="9" borderId="0" xfId="0" applyFont="1" applyFill="1" applyAlignment="1">
      <alignment horizontal="center" vertical="top" wrapText="1"/>
    </xf>
    <xf numFmtId="0" fontId="94" fillId="9" borderId="0" xfId="0" applyFont="1" applyFill="1" applyAlignment="1">
      <alignment horizontal="center" wrapText="1"/>
    </xf>
    <xf numFmtId="2" fontId="94" fillId="9" borderId="0" xfId="0" applyNumberFormat="1" applyFont="1" applyFill="1" applyAlignment="1">
      <alignment wrapText="1"/>
    </xf>
    <xf numFmtId="2" fontId="94" fillId="0" borderId="0" xfId="0" applyNumberFormat="1" applyFont="1" applyAlignment="1">
      <alignment wrapText="1"/>
    </xf>
    <xf numFmtId="0" fontId="26" fillId="0" borderId="0" xfId="22" applyFont="1" applyAlignment="1">
      <alignment horizontal="center" vertical="top" wrapText="1"/>
    </xf>
    <xf numFmtId="0" fontId="95" fillId="0" borderId="0" xfId="21" applyFont="1" applyAlignment="1">
      <alignment horizontal="justify" vertical="top" wrapText="1"/>
    </xf>
    <xf numFmtId="0" fontId="94" fillId="0" borderId="26" xfId="0" applyFont="1" applyBorder="1" applyAlignment="1">
      <alignment horizontal="center" wrapText="1"/>
    </xf>
    <xf numFmtId="2" fontId="94" fillId="0" borderId="26" xfId="0" applyNumberFormat="1" applyFont="1" applyBorder="1" applyAlignment="1">
      <alignment wrapText="1"/>
    </xf>
    <xf numFmtId="2" fontId="94" fillId="0" borderId="26" xfId="0" applyNumberFormat="1" applyFont="1" applyBorder="1" applyAlignment="1">
      <alignment horizontal="right" wrapText="1"/>
    </xf>
    <xf numFmtId="0" fontId="94" fillId="0" borderId="27" xfId="0" applyFont="1" applyBorder="1" applyAlignment="1">
      <alignment horizontal="center" wrapText="1"/>
    </xf>
    <xf numFmtId="2" fontId="94" fillId="0" borderId="27" xfId="0" applyNumberFormat="1" applyFont="1" applyBorder="1" applyAlignment="1">
      <alignment wrapText="1"/>
    </xf>
    <xf numFmtId="0" fontId="94" fillId="0" borderId="27" xfId="21" applyFont="1" applyBorder="1" applyAlignment="1">
      <alignment horizontal="justify" vertical="top" wrapText="1"/>
    </xf>
    <xf numFmtId="2" fontId="94" fillId="0" borderId="27" xfId="0" applyNumberFormat="1" applyFont="1" applyBorder="1" applyAlignment="1">
      <alignment horizontal="right" wrapText="1"/>
    </xf>
    <xf numFmtId="0" fontId="95" fillId="0" borderId="0" xfId="22" applyFont="1" applyAlignment="1">
      <alignment horizontal="center" vertical="top" wrapText="1"/>
    </xf>
    <xf numFmtId="0" fontId="94" fillId="0" borderId="27" xfId="22" applyFont="1" applyBorder="1" applyAlignment="1">
      <alignment horizontal="center" wrapText="1"/>
    </xf>
    <xf numFmtId="2" fontId="94" fillId="0" borderId="27" xfId="22" applyNumberFormat="1" applyFont="1" applyBorder="1" applyAlignment="1">
      <alignment wrapText="1"/>
    </xf>
    <xf numFmtId="2" fontId="94" fillId="0" borderId="27" xfId="22" applyNumberFormat="1" applyFont="1" applyBorder="1" applyAlignment="1">
      <alignment horizontal="right" wrapText="1"/>
    </xf>
    <xf numFmtId="0" fontId="94" fillId="0" borderId="11" xfId="0" applyFont="1" applyBorder="1" applyAlignment="1">
      <alignment horizontal="center" wrapText="1"/>
    </xf>
    <xf numFmtId="4" fontId="94" fillId="0" borderId="11" xfId="0" applyNumberFormat="1" applyFont="1" applyBorder="1" applyAlignment="1">
      <alignment wrapText="1"/>
    </xf>
    <xf numFmtId="4" fontId="94" fillId="0" borderId="26" xfId="0" applyNumberFormat="1" applyFont="1" applyBorder="1" applyAlignment="1">
      <alignment wrapText="1"/>
    </xf>
    <xf numFmtId="4" fontId="94" fillId="0" borderId="26" xfId="0" applyNumberFormat="1" applyFont="1" applyBorder="1" applyAlignment="1">
      <alignment horizontal="center" wrapText="1"/>
    </xf>
    <xf numFmtId="4" fontId="94" fillId="0" borderId="26" xfId="0" applyNumberFormat="1" applyFont="1" applyBorder="1" applyAlignment="1">
      <alignment horizontal="right" wrapText="1"/>
    </xf>
    <xf numFmtId="167" fontId="94" fillId="0" borderId="27" xfId="0" applyNumberFormat="1" applyFont="1" applyBorder="1" applyAlignment="1">
      <alignment horizontal="center" wrapText="1"/>
    </xf>
    <xf numFmtId="4" fontId="94" fillId="0" borderId="27" xfId="0" applyNumberFormat="1" applyFont="1" applyBorder="1" applyAlignment="1">
      <alignment wrapText="1"/>
    </xf>
    <xf numFmtId="0" fontId="94" fillId="0" borderId="7" xfId="0" applyFont="1" applyBorder="1" applyAlignment="1">
      <alignment horizontal="center" wrapText="1"/>
    </xf>
    <xf numFmtId="4" fontId="94" fillId="0" borderId="7" xfId="0" applyNumberFormat="1" applyFont="1" applyBorder="1" applyAlignment="1">
      <alignment wrapText="1"/>
    </xf>
    <xf numFmtId="4" fontId="94" fillId="0" borderId="11" xfId="0" applyNumberFormat="1" applyFont="1" applyBorder="1" applyAlignment="1">
      <alignment horizontal="center" wrapText="1"/>
    </xf>
    <xf numFmtId="4" fontId="94" fillId="0" borderId="0" xfId="0" applyNumberFormat="1" applyFont="1" applyAlignment="1">
      <alignment horizontal="center" wrapText="1"/>
    </xf>
    <xf numFmtId="4" fontId="94" fillId="0" borderId="7" xfId="0" applyNumberFormat="1" applyFont="1" applyBorder="1" applyAlignment="1">
      <alignment horizontal="center" wrapText="1"/>
    </xf>
    <xf numFmtId="0" fontId="95" fillId="0" borderId="0" xfId="9" applyFont="1" applyAlignment="1">
      <alignment horizontal="center" vertical="top" wrapText="1"/>
    </xf>
    <xf numFmtId="0" fontId="94" fillId="0" borderId="0" xfId="9" applyFont="1" applyAlignment="1">
      <alignment horizontal="center" wrapText="1"/>
    </xf>
    <xf numFmtId="4" fontId="94" fillId="0" borderId="0" xfId="9" applyNumberFormat="1" applyFont="1" applyAlignment="1">
      <alignment wrapText="1"/>
    </xf>
    <xf numFmtId="4" fontId="94" fillId="0" borderId="0" xfId="9" applyNumberFormat="1" applyFont="1" applyAlignment="1">
      <alignment horizontal="center" wrapText="1"/>
    </xf>
    <xf numFmtId="0" fontId="26" fillId="0" borderId="0" xfId="9" applyFont="1" applyAlignment="1">
      <alignment horizontal="center" vertical="top" wrapText="1"/>
    </xf>
    <xf numFmtId="0" fontId="27" fillId="0" borderId="27" xfId="9" applyFont="1" applyBorder="1" applyAlignment="1">
      <alignment horizontal="center" wrapText="1"/>
    </xf>
    <xf numFmtId="2" fontId="27" fillId="0" borderId="27" xfId="9" applyNumberFormat="1" applyFont="1" applyBorder="1" applyAlignment="1">
      <alignment wrapText="1"/>
    </xf>
    <xf numFmtId="2" fontId="27" fillId="0" borderId="27" xfId="9" applyNumberFormat="1" applyFont="1" applyBorder="1" applyAlignment="1">
      <alignment horizontal="right" wrapText="1"/>
    </xf>
    <xf numFmtId="0" fontId="94" fillId="0" borderId="27" xfId="9" applyFont="1" applyBorder="1" applyAlignment="1">
      <alignment horizontal="center" wrapText="1"/>
    </xf>
    <xf numFmtId="2" fontId="94" fillId="0" borderId="27" xfId="9" applyNumberFormat="1" applyFont="1" applyBorder="1" applyAlignment="1">
      <alignment wrapText="1"/>
    </xf>
    <xf numFmtId="2" fontId="94" fillId="0" borderId="27" xfId="9" applyNumberFormat="1" applyFont="1" applyBorder="1" applyAlignment="1">
      <alignment horizontal="right" wrapText="1"/>
    </xf>
    <xf numFmtId="167" fontId="94" fillId="0" borderId="27" xfId="9" applyNumberFormat="1" applyFont="1" applyBorder="1" applyAlignment="1">
      <alignment horizontal="center" wrapText="1"/>
    </xf>
    <xf numFmtId="4" fontId="94" fillId="0" borderId="27" xfId="9" applyNumberFormat="1" applyFont="1" applyBorder="1" applyAlignment="1">
      <alignment wrapText="1"/>
    </xf>
    <xf numFmtId="4" fontId="94" fillId="0" borderId="27" xfId="9" applyNumberFormat="1" applyFont="1" applyBorder="1" applyAlignment="1">
      <alignment horizontal="center" wrapText="1"/>
    </xf>
    <xf numFmtId="0" fontId="94" fillId="0" borderId="11" xfId="9" applyFont="1" applyBorder="1" applyAlignment="1">
      <alignment horizontal="center" wrapText="1"/>
    </xf>
    <xf numFmtId="4" fontId="94" fillId="0" borderId="11" xfId="9" applyNumberFormat="1" applyFont="1" applyBorder="1" applyAlignment="1">
      <alignment wrapText="1"/>
    </xf>
    <xf numFmtId="4" fontId="94" fillId="0" borderId="11" xfId="9" applyNumberFormat="1" applyFont="1" applyBorder="1" applyAlignment="1">
      <alignment horizontal="center" wrapText="1"/>
    </xf>
    <xf numFmtId="0" fontId="94" fillId="9" borderId="0" xfId="0" applyFont="1" applyFill="1" applyAlignment="1">
      <alignment wrapText="1"/>
    </xf>
    <xf numFmtId="4" fontId="95" fillId="9" borderId="0" xfId="0" applyNumberFormat="1" applyFont="1" applyFill="1" applyAlignment="1">
      <alignment horizontal="center" wrapText="1"/>
    </xf>
    <xf numFmtId="4" fontId="95" fillId="9" borderId="0" xfId="0" applyNumberFormat="1" applyFont="1" applyFill="1" applyAlignment="1">
      <alignment wrapText="1"/>
    </xf>
    <xf numFmtId="4" fontId="95" fillId="0" borderId="0" xfId="0" applyNumberFormat="1" applyFont="1" applyAlignment="1">
      <alignment horizontal="center" wrapText="1"/>
    </xf>
    <xf numFmtId="4" fontId="95" fillId="0" borderId="0" xfId="0" applyNumberFormat="1" applyFont="1" applyAlignment="1">
      <alignment wrapText="1"/>
    </xf>
    <xf numFmtId="4" fontId="94" fillId="9" borderId="0" xfId="0" applyNumberFormat="1" applyFont="1" applyFill="1" applyAlignment="1">
      <alignment wrapText="1"/>
    </xf>
    <xf numFmtId="0" fontId="26" fillId="0" borderId="0" xfId="0" applyFont="1" applyAlignment="1">
      <alignment horizontal="center" vertical="top" wrapText="1"/>
    </xf>
    <xf numFmtId="0" fontId="7" fillId="0" borderId="26" xfId="0" applyFont="1" applyBorder="1" applyAlignment="1">
      <alignment horizontal="center" wrapText="1"/>
    </xf>
    <xf numFmtId="0" fontId="94" fillId="0" borderId="26" xfId="21" applyFont="1" applyBorder="1" applyAlignment="1">
      <alignment horizontal="center" wrapText="1"/>
    </xf>
    <xf numFmtId="4" fontId="7" fillId="0" borderId="26" xfId="0" applyNumberFormat="1" applyFont="1" applyBorder="1" applyAlignment="1">
      <alignment wrapText="1"/>
    </xf>
    <xf numFmtId="0" fontId="7" fillId="0" borderId="0" xfId="0" applyFont="1" applyAlignment="1">
      <alignment horizontal="center" wrapText="1"/>
    </xf>
    <xf numFmtId="0" fontId="94" fillId="0" borderId="0" xfId="21" applyFont="1" applyAlignment="1">
      <alignment horizontal="center" wrapText="1"/>
    </xf>
    <xf numFmtId="4" fontId="7" fillId="0" borderId="0" xfId="0" applyNumberFormat="1" applyFont="1" applyAlignment="1">
      <alignment wrapText="1"/>
    </xf>
    <xf numFmtId="0" fontId="95" fillId="0" borderId="0" xfId="21" applyFont="1" applyAlignment="1">
      <alignment horizontal="center" vertical="top" wrapText="1"/>
    </xf>
    <xf numFmtId="4" fontId="94" fillId="0" borderId="26" xfId="21" applyNumberFormat="1" applyFont="1" applyBorder="1" applyAlignment="1">
      <alignment horizontal="right" wrapText="1"/>
    </xf>
    <xf numFmtId="0" fontId="26" fillId="0" borderId="0" xfId="21" applyFont="1" applyAlignment="1">
      <alignment horizontal="center" vertical="top" wrapText="1"/>
    </xf>
    <xf numFmtId="4" fontId="94" fillId="0" borderId="0" xfId="21" applyNumberFormat="1" applyFont="1" applyAlignment="1">
      <alignment horizontal="right" wrapText="1"/>
    </xf>
    <xf numFmtId="4" fontId="94" fillId="0" borderId="0" xfId="21" applyNumberFormat="1" applyFont="1" applyAlignment="1">
      <alignment wrapText="1"/>
    </xf>
    <xf numFmtId="4" fontId="94" fillId="0" borderId="0" xfId="0" applyNumberFormat="1" applyFont="1" applyAlignment="1">
      <alignment horizontal="right" wrapText="1"/>
    </xf>
    <xf numFmtId="0" fontId="94" fillId="0" borderId="0" xfId="0" quotePrefix="1" applyFont="1" applyAlignment="1">
      <alignment horizontal="justify" vertical="center" wrapText="1"/>
    </xf>
    <xf numFmtId="3" fontId="27" fillId="0" borderId="26" xfId="0" applyNumberFormat="1" applyFont="1" applyBorder="1" applyAlignment="1">
      <alignment horizontal="center" wrapText="1"/>
    </xf>
    <xf numFmtId="3" fontId="27" fillId="0" borderId="0" xfId="0" applyNumberFormat="1" applyFont="1" applyAlignment="1">
      <alignment horizontal="center" wrapText="1"/>
    </xf>
    <xf numFmtId="0" fontId="94" fillId="0" borderId="28" xfId="21" applyFont="1" applyBorder="1" applyAlignment="1">
      <alignment horizontal="center" wrapText="1"/>
    </xf>
    <xf numFmtId="0" fontId="94" fillId="0" borderId="28" xfId="0" applyFont="1" applyBorder="1" applyAlignment="1">
      <alignment horizontal="center" wrapText="1"/>
    </xf>
    <xf numFmtId="2" fontId="94" fillId="0" borderId="28" xfId="0" applyNumberFormat="1" applyFont="1" applyBorder="1" applyAlignment="1">
      <alignment wrapText="1"/>
    </xf>
    <xf numFmtId="0" fontId="94" fillId="0" borderId="27" xfId="21" applyFont="1" applyBorder="1" applyAlignment="1">
      <alignment horizontal="center" wrapText="1"/>
    </xf>
    <xf numFmtId="0" fontId="95" fillId="0" borderId="0" xfId="23" applyFont="1" applyAlignment="1">
      <alignment horizontal="center" vertical="top" wrapText="1"/>
    </xf>
    <xf numFmtId="0" fontId="94" fillId="0" borderId="0" xfId="23" applyFont="1" applyAlignment="1">
      <alignment horizontal="center" wrapText="1"/>
    </xf>
    <xf numFmtId="0" fontId="94" fillId="0" borderId="26" xfId="23" applyFont="1" applyBorder="1" applyAlignment="1">
      <alignment horizontal="center" wrapText="1"/>
    </xf>
    <xf numFmtId="0" fontId="94" fillId="0" borderId="26" xfId="9" applyFont="1" applyBorder="1" applyAlignment="1">
      <alignment horizontal="center" wrapText="1"/>
    </xf>
    <xf numFmtId="4" fontId="94" fillId="0" borderId="26" xfId="9" applyNumberFormat="1" applyFont="1" applyBorder="1" applyAlignment="1">
      <alignment wrapText="1"/>
    </xf>
    <xf numFmtId="4" fontId="94" fillId="0" borderId="0" xfId="21" applyNumberFormat="1" applyFont="1" applyAlignment="1">
      <alignment horizontal="center" wrapText="1"/>
    </xf>
    <xf numFmtId="0" fontId="95" fillId="0" borderId="0" xfId="24" applyFont="1" applyAlignment="1">
      <alignment horizontal="center" vertical="top" wrapText="1"/>
    </xf>
    <xf numFmtId="0" fontId="94" fillId="0" borderId="0" xfId="24" applyAlignment="1">
      <alignment vertical="justify" wrapText="1"/>
    </xf>
    <xf numFmtId="0" fontId="94" fillId="0" borderId="28" xfId="24" applyBorder="1" applyAlignment="1">
      <alignment horizontal="center" wrapText="1"/>
    </xf>
    <xf numFmtId="4" fontId="94" fillId="0" borderId="28" xfId="24" applyNumberFormat="1" applyBorder="1" applyAlignment="1">
      <alignment wrapText="1"/>
    </xf>
    <xf numFmtId="0" fontId="94" fillId="0" borderId="0" xfId="24" applyAlignment="1">
      <alignment horizontal="justify" vertical="top" wrapText="1"/>
    </xf>
    <xf numFmtId="0" fontId="95" fillId="9" borderId="0" xfId="0" applyFont="1" applyFill="1" applyAlignment="1">
      <alignment horizontal="center" vertical="top" wrapText="1"/>
    </xf>
    <xf numFmtId="0" fontId="94" fillId="9" borderId="0" xfId="21" applyFont="1" applyFill="1" applyAlignment="1">
      <alignment horizontal="center" wrapText="1"/>
    </xf>
    <xf numFmtId="0" fontId="7" fillId="0" borderId="0" xfId="0" applyFont="1" applyAlignment="1">
      <alignment wrapText="1"/>
    </xf>
    <xf numFmtId="4" fontId="94" fillId="0" borderId="27" xfId="21" applyNumberFormat="1" applyFont="1" applyBorder="1" applyAlignment="1">
      <alignment horizontal="right" wrapText="1"/>
    </xf>
    <xf numFmtId="4" fontId="94" fillId="0" borderId="28" xfId="21" applyNumberFormat="1" applyFont="1" applyBorder="1" applyAlignment="1">
      <alignment horizontal="right" wrapText="1"/>
    </xf>
    <xf numFmtId="4" fontId="94" fillId="0" borderId="28" xfId="0" applyNumberFormat="1" applyFont="1" applyBorder="1" applyAlignment="1">
      <alignment wrapText="1"/>
    </xf>
    <xf numFmtId="49" fontId="26" fillId="0" borderId="0" xfId="21" applyNumberFormat="1" applyFont="1" applyAlignment="1">
      <alignment horizontal="center" vertical="top" wrapText="1"/>
    </xf>
    <xf numFmtId="4" fontId="94" fillId="0" borderId="28" xfId="21" applyNumberFormat="1" applyFont="1" applyBorder="1" applyAlignment="1">
      <alignment wrapText="1"/>
    </xf>
    <xf numFmtId="4" fontId="94" fillId="0" borderId="26" xfId="21" applyNumberFormat="1" applyFont="1" applyBorder="1" applyAlignment="1">
      <alignment horizontal="center" wrapText="1"/>
    </xf>
    <xf numFmtId="49" fontId="26" fillId="0" borderId="0" xfId="0" applyNumberFormat="1" applyFont="1" applyAlignment="1">
      <alignment horizontal="center" vertical="top" wrapText="1"/>
    </xf>
    <xf numFmtId="0" fontId="0" fillId="0" borderId="0" xfId="0" applyAlignment="1">
      <alignment horizontal="center" wrapText="1"/>
    </xf>
    <xf numFmtId="49" fontId="95" fillId="0" borderId="0" xfId="21" applyNumberFormat="1" applyFont="1" applyAlignment="1">
      <alignment horizontal="left" vertical="top" wrapText="1"/>
    </xf>
    <xf numFmtId="0" fontId="103" fillId="9" borderId="0" xfId="21" applyFont="1" applyFill="1" applyAlignment="1">
      <alignment horizontal="center" vertical="top" wrapText="1"/>
    </xf>
    <xf numFmtId="0" fontId="103" fillId="9" borderId="0" xfId="21" applyFont="1" applyFill="1" applyAlignment="1">
      <alignment horizontal="center" wrapText="1"/>
    </xf>
    <xf numFmtId="2" fontId="103" fillId="9" borderId="0" xfId="0" applyNumberFormat="1" applyFont="1" applyFill="1" applyAlignment="1">
      <alignment wrapText="1"/>
    </xf>
    <xf numFmtId="4" fontId="103" fillId="9" borderId="0" xfId="21" applyNumberFormat="1" applyFont="1" applyFill="1" applyAlignment="1">
      <alignment wrapText="1"/>
    </xf>
    <xf numFmtId="0" fontId="96" fillId="9" borderId="0" xfId="21" applyFont="1" applyFill="1" applyAlignment="1">
      <alignment horizontal="left" vertical="top" wrapText="1"/>
    </xf>
    <xf numFmtId="4" fontId="94" fillId="9" borderId="0" xfId="21" applyNumberFormat="1" applyFont="1" applyFill="1" applyAlignment="1">
      <alignment horizontal="right" wrapText="1"/>
    </xf>
    <xf numFmtId="4" fontId="94" fillId="9" borderId="0" xfId="21" applyNumberFormat="1" applyFont="1" applyFill="1" applyAlignment="1">
      <alignment wrapText="1"/>
    </xf>
    <xf numFmtId="4" fontId="94" fillId="0" borderId="27" xfId="21" applyNumberFormat="1" applyFont="1" applyBorder="1" applyAlignment="1">
      <alignment horizontal="center" wrapText="1"/>
    </xf>
    <xf numFmtId="4" fontId="94" fillId="0" borderId="26" xfId="21" applyNumberFormat="1" applyFont="1" applyBorder="1" applyAlignment="1">
      <alignment wrapText="1"/>
    </xf>
    <xf numFmtId="0" fontId="104" fillId="9" borderId="0" xfId="21" applyFont="1" applyFill="1" applyAlignment="1">
      <alignment horizontal="center" wrapText="1"/>
    </xf>
    <xf numFmtId="4" fontId="103" fillId="9" borderId="0" xfId="21" applyNumberFormat="1" applyFont="1" applyFill="1" applyAlignment="1">
      <alignment horizontal="right" wrapText="1"/>
    </xf>
    <xf numFmtId="4" fontId="104" fillId="9" borderId="0" xfId="21" applyNumberFormat="1" applyFont="1" applyFill="1" applyAlignment="1">
      <alignment wrapText="1"/>
    </xf>
    <xf numFmtId="0" fontId="105" fillId="9" borderId="0" xfId="21" applyFont="1" applyFill="1" applyAlignment="1">
      <alignment horizontal="center" wrapText="1"/>
    </xf>
    <xf numFmtId="4" fontId="105" fillId="9" borderId="0" xfId="21" applyNumberFormat="1" applyFont="1" applyFill="1" applyAlignment="1">
      <alignment horizontal="right" wrapText="1"/>
    </xf>
    <xf numFmtId="0" fontId="94" fillId="0" borderId="0" xfId="0" applyFont="1" applyAlignment="1">
      <alignment horizontal="left" vertical="justify" wrapText="1"/>
    </xf>
    <xf numFmtId="0" fontId="94" fillId="0" borderId="27" xfId="0" applyFont="1" applyBorder="1" applyAlignment="1">
      <alignment wrapText="1"/>
    </xf>
    <xf numFmtId="0" fontId="94" fillId="0" borderId="28" xfId="0" applyFont="1" applyBorder="1" applyAlignment="1">
      <alignment wrapText="1"/>
    </xf>
    <xf numFmtId="0" fontId="94" fillId="0" borderId="26" xfId="0" applyFont="1" applyBorder="1" applyAlignment="1">
      <alignment wrapText="1"/>
    </xf>
    <xf numFmtId="0" fontId="95" fillId="0" borderId="0" xfId="0" applyFont="1" applyAlignment="1">
      <alignment horizontal="center" vertical="justify" wrapText="1"/>
    </xf>
    <xf numFmtId="0" fontId="95" fillId="9" borderId="0" xfId="21" applyFont="1" applyFill="1" applyAlignment="1">
      <alignment horizontal="center" vertical="top" wrapText="1"/>
    </xf>
    <xf numFmtId="4" fontId="95" fillId="9" borderId="0" xfId="21" applyNumberFormat="1" applyFont="1" applyFill="1" applyAlignment="1">
      <alignment horizontal="right" wrapText="1"/>
    </xf>
    <xf numFmtId="0" fontId="96" fillId="5" borderId="0" xfId="0" applyFont="1" applyFill="1" applyAlignment="1">
      <alignment horizontal="center" vertical="top" wrapText="1"/>
    </xf>
    <xf numFmtId="0" fontId="106" fillId="5" borderId="0" xfId="0" applyFont="1" applyFill="1" applyAlignment="1">
      <alignment wrapText="1"/>
    </xf>
    <xf numFmtId="0" fontId="106" fillId="5" borderId="0" xfId="0" applyFont="1" applyFill="1" applyAlignment="1">
      <alignment horizontal="center" wrapText="1"/>
    </xf>
    <xf numFmtId="4" fontId="106" fillId="5" borderId="0" xfId="0" applyNumberFormat="1" applyFont="1" applyFill="1" applyAlignment="1">
      <alignment wrapText="1"/>
    </xf>
    <xf numFmtId="0" fontId="94" fillId="0" borderId="0" xfId="21" applyFont="1" applyAlignment="1">
      <alignment horizontal="center" vertical="top" wrapText="1"/>
    </xf>
    <xf numFmtId="4" fontId="24" fillId="0" borderId="0" xfId="0" applyNumberFormat="1" applyFont="1" applyAlignment="1">
      <alignment wrapText="1"/>
    </xf>
    <xf numFmtId="0" fontId="24" fillId="0" borderId="0" xfId="0" applyFont="1" applyAlignment="1">
      <alignment wrapText="1"/>
    </xf>
    <xf numFmtId="4" fontId="94" fillId="0" borderId="27" xfId="21" applyNumberFormat="1" applyFont="1" applyBorder="1" applyAlignment="1">
      <alignment wrapText="1"/>
    </xf>
    <xf numFmtId="4" fontId="94" fillId="0" borderId="28" xfId="0" applyNumberFormat="1" applyFont="1" applyBorder="1" applyAlignment="1">
      <alignment horizontal="center" wrapText="1"/>
    </xf>
    <xf numFmtId="0" fontId="107" fillId="9" borderId="0" xfId="21" applyFont="1" applyFill="1" applyAlignment="1">
      <alignment horizontal="center" vertical="top" wrapText="1"/>
    </xf>
    <xf numFmtId="4" fontId="103" fillId="9" borderId="0" xfId="0" applyNumberFormat="1" applyFont="1" applyFill="1" applyAlignment="1">
      <alignment horizontal="center" wrapText="1"/>
    </xf>
    <xf numFmtId="4" fontId="108" fillId="9" borderId="0" xfId="21" applyNumberFormat="1" applyFont="1" applyFill="1" applyAlignment="1">
      <alignment horizontal="center" wrapText="1"/>
    </xf>
    <xf numFmtId="4" fontId="109" fillId="0" borderId="0" xfId="0" applyNumberFormat="1" applyFont="1" applyAlignment="1">
      <alignment wrapText="1"/>
    </xf>
    <xf numFmtId="0" fontId="96" fillId="9" borderId="0" xfId="0" applyFont="1" applyFill="1" applyAlignment="1">
      <alignment horizontal="center" vertical="center" wrapText="1"/>
    </xf>
    <xf numFmtId="0" fontId="96" fillId="9" borderId="0" xfId="21" applyFont="1" applyFill="1" applyAlignment="1">
      <alignment horizontal="justify" vertical="center" wrapText="1"/>
    </xf>
    <xf numFmtId="0" fontId="94" fillId="9" borderId="0" xfId="0" applyFont="1" applyFill="1" applyAlignment="1">
      <alignment vertical="center" wrapText="1"/>
    </xf>
    <xf numFmtId="0" fontId="94" fillId="9" borderId="0" xfId="0" applyFont="1" applyFill="1" applyAlignment="1">
      <alignment horizontal="center" vertical="center" wrapText="1"/>
    </xf>
    <xf numFmtId="4" fontId="109" fillId="9" borderId="0" xfId="0" applyNumberFormat="1" applyFont="1" applyFill="1" applyAlignment="1">
      <alignment vertical="center" wrapText="1"/>
    </xf>
    <xf numFmtId="0" fontId="96" fillId="0" borderId="0" xfId="21" applyFont="1" applyAlignment="1">
      <alignment horizontal="justify" wrapText="1"/>
    </xf>
    <xf numFmtId="4" fontId="109" fillId="0" borderId="0" xfId="21" applyNumberFormat="1" applyFont="1" applyAlignment="1">
      <alignment wrapText="1"/>
    </xf>
    <xf numFmtId="4" fontId="94" fillId="0" borderId="28" xfId="23" applyNumberFormat="1" applyFont="1" applyBorder="1" applyAlignment="1">
      <alignment wrapText="1"/>
    </xf>
    <xf numFmtId="4" fontId="110" fillId="0" borderId="0" xfId="0" applyNumberFormat="1" applyFont="1" applyAlignment="1">
      <alignment wrapText="1"/>
    </xf>
    <xf numFmtId="0" fontId="94" fillId="0" borderId="0" xfId="0" applyFont="1" applyAlignment="1">
      <alignment horizontal="center" vertical="top" wrapText="1"/>
    </xf>
    <xf numFmtId="4" fontId="111" fillId="0" borderId="0" xfId="0" applyNumberFormat="1" applyFont="1" applyAlignment="1">
      <alignment wrapText="1"/>
    </xf>
    <xf numFmtId="0" fontId="112" fillId="9" borderId="0" xfId="21" applyFont="1" applyFill="1" applyAlignment="1">
      <alignment horizontal="justify" wrapText="1"/>
    </xf>
    <xf numFmtId="4" fontId="103" fillId="9" borderId="0" xfId="0" applyNumberFormat="1" applyFont="1" applyFill="1" applyAlignment="1">
      <alignment wrapText="1"/>
    </xf>
    <xf numFmtId="4" fontId="112" fillId="9" borderId="0" xfId="21" applyNumberFormat="1" applyFont="1" applyFill="1" applyAlignment="1">
      <alignment wrapText="1"/>
    </xf>
    <xf numFmtId="4" fontId="105" fillId="9" borderId="0" xfId="21" applyNumberFormat="1" applyFont="1" applyFill="1" applyAlignment="1">
      <alignment wrapText="1"/>
    </xf>
    <xf numFmtId="3" fontId="94" fillId="0" borderId="0" xfId="0" applyNumberFormat="1" applyFont="1" applyAlignment="1">
      <alignment horizontal="center" wrapText="1"/>
    </xf>
    <xf numFmtId="2" fontId="94" fillId="0" borderId="26" xfId="21" applyNumberFormat="1" applyFont="1" applyBorder="1" applyAlignment="1">
      <alignment wrapText="1"/>
    </xf>
    <xf numFmtId="2" fontId="27" fillId="0" borderId="0" xfId="0" applyNumberFormat="1" applyFont="1" applyAlignment="1">
      <alignment horizontal="center" wrapText="1"/>
    </xf>
    <xf numFmtId="2" fontId="94" fillId="0" borderId="0" xfId="0" applyNumberFormat="1" applyFont="1" applyAlignment="1">
      <alignment horizontal="center" wrapText="1"/>
    </xf>
    <xf numFmtId="2" fontId="27" fillId="0" borderId="26" xfId="0" applyNumberFormat="1" applyFont="1" applyBorder="1" applyAlignment="1">
      <alignment horizontal="center" wrapText="1"/>
    </xf>
    <xf numFmtId="3" fontId="94" fillId="0" borderId="26" xfId="0" applyNumberFormat="1" applyFont="1" applyBorder="1" applyAlignment="1">
      <alignment horizontal="center" wrapText="1"/>
    </xf>
    <xf numFmtId="2" fontId="94" fillId="0" borderId="26" xfId="21" applyNumberFormat="1" applyFont="1" applyBorder="1" applyAlignment="1">
      <alignment horizontal="right" wrapText="1"/>
    </xf>
    <xf numFmtId="2" fontId="94" fillId="0" borderId="0" xfId="21" applyNumberFormat="1" applyFont="1" applyAlignment="1">
      <alignment horizontal="right" wrapText="1"/>
    </xf>
    <xf numFmtId="2" fontId="94" fillId="0" borderId="0" xfId="0" applyNumberFormat="1" applyFont="1" applyAlignment="1">
      <alignment horizontal="right" wrapText="1"/>
    </xf>
    <xf numFmtId="0" fontId="113" fillId="0" borderId="26" xfId="21" applyFont="1" applyBorder="1" applyAlignment="1">
      <alignment horizontal="center" wrapText="1"/>
    </xf>
    <xf numFmtId="2" fontId="113" fillId="0" borderId="26" xfId="21" applyNumberFormat="1" applyFont="1" applyBorder="1" applyAlignment="1">
      <alignment horizontal="right" wrapText="1"/>
    </xf>
    <xf numFmtId="0" fontId="113" fillId="0" borderId="0" xfId="21" applyFont="1" applyAlignment="1">
      <alignment horizontal="center" wrapText="1"/>
    </xf>
    <xf numFmtId="2" fontId="113" fillId="0" borderId="0" xfId="21" applyNumberFormat="1" applyFont="1" applyAlignment="1">
      <alignment horizontal="right" wrapText="1"/>
    </xf>
    <xf numFmtId="168" fontId="93" fillId="0" borderId="0" xfId="21" applyNumberFormat="1" applyFont="1" applyAlignment="1">
      <alignment horizontal="center" vertical="top" wrapText="1"/>
    </xf>
    <xf numFmtId="0" fontId="115" fillId="0" borderId="0" xfId="21" applyFont="1" applyAlignment="1">
      <alignment horizontal="center" wrapText="1"/>
    </xf>
    <xf numFmtId="4" fontId="115" fillId="0" borderId="0" xfId="21" applyNumberFormat="1" applyFont="1" applyAlignment="1">
      <alignment horizontal="right" wrapText="1"/>
    </xf>
    <xf numFmtId="4" fontId="115" fillId="0" borderId="0" xfId="21" applyNumberFormat="1" applyFont="1" applyAlignment="1">
      <alignment wrapText="1"/>
    </xf>
    <xf numFmtId="0" fontId="115" fillId="0" borderId="26" xfId="21" applyFont="1" applyBorder="1" applyAlignment="1">
      <alignment horizontal="center" vertical="center" wrapText="1"/>
    </xf>
    <xf numFmtId="4" fontId="115" fillId="0" borderId="26" xfId="21" applyNumberFormat="1" applyFont="1" applyBorder="1" applyAlignment="1">
      <alignment horizontal="right" vertical="center" wrapText="1"/>
    </xf>
    <xf numFmtId="4" fontId="95" fillId="0" borderId="26" xfId="21" applyNumberFormat="1" applyFont="1" applyBorder="1" applyAlignment="1">
      <alignment vertical="center" wrapText="1"/>
    </xf>
    <xf numFmtId="0" fontId="96" fillId="9" borderId="0" xfId="21" applyFont="1" applyFill="1" applyAlignment="1">
      <alignment horizontal="center" vertical="center" wrapText="1"/>
    </xf>
    <xf numFmtId="0" fontId="115" fillId="0" borderId="27" xfId="21" applyFont="1" applyBorder="1" applyAlignment="1">
      <alignment horizontal="center" vertical="center" wrapText="1"/>
    </xf>
    <xf numFmtId="4" fontId="115" fillId="0" borderId="27" xfId="21" applyNumberFormat="1" applyFont="1" applyBorder="1" applyAlignment="1">
      <alignment horizontal="right" vertical="center" wrapText="1"/>
    </xf>
    <xf numFmtId="4" fontId="95" fillId="0" borderId="27" xfId="21" applyNumberFormat="1" applyFont="1" applyBorder="1" applyAlignment="1">
      <alignment wrapText="1"/>
    </xf>
    <xf numFmtId="0" fontId="93" fillId="0" borderId="0" xfId="21" applyFont="1" applyAlignment="1">
      <alignment horizontal="center" vertical="top" wrapText="1"/>
    </xf>
    <xf numFmtId="4" fontId="93" fillId="0" borderId="0" xfId="0" applyNumberFormat="1" applyFont="1" applyAlignment="1">
      <alignment horizontal="right" wrapText="1"/>
    </xf>
    <xf numFmtId="0" fontId="94" fillId="0" borderId="4" xfId="0" applyFont="1" applyBorder="1" applyAlignment="1">
      <alignment wrapText="1"/>
    </xf>
    <xf numFmtId="4" fontId="93" fillId="0" borderId="4" xfId="0" applyNumberFormat="1" applyFont="1" applyBorder="1" applyAlignment="1">
      <alignment horizontal="right" wrapText="1"/>
    </xf>
    <xf numFmtId="4" fontId="95" fillId="0" borderId="4" xfId="0" applyNumberFormat="1" applyFont="1" applyBorder="1" applyAlignment="1">
      <alignment wrapText="1"/>
    </xf>
    <xf numFmtId="4" fontId="93" fillId="0" borderId="0" xfId="21" applyNumberFormat="1" applyFont="1" applyAlignment="1">
      <alignment wrapText="1"/>
    </xf>
    <xf numFmtId="2" fontId="94" fillId="0" borderId="0" xfId="0" applyNumberFormat="1" applyFont="1" applyAlignment="1">
      <alignment horizontal="left" wrapText="1"/>
    </xf>
    <xf numFmtId="0" fontId="94" fillId="0" borderId="0" xfId="21" applyFont="1" applyAlignment="1">
      <alignment horizontal="left" wrapText="1"/>
    </xf>
    <xf numFmtId="0" fontId="95" fillId="0" borderId="0" xfId="0" applyFont="1" applyAlignment="1">
      <alignment wrapText="1"/>
    </xf>
    <xf numFmtId="44" fontId="95" fillId="9" borderId="0" xfId="0" applyNumberFormat="1" applyFont="1" applyFill="1" applyAlignment="1">
      <alignment wrapText="1"/>
    </xf>
    <xf numFmtId="0" fontId="116" fillId="8" borderId="16" xfId="10" applyFont="1"/>
    <xf numFmtId="0" fontId="11" fillId="0" borderId="1" xfId="0" applyFont="1" applyBorder="1" applyAlignment="1">
      <alignment horizontal="justify" vertical="top"/>
    </xf>
    <xf numFmtId="0" fontId="11" fillId="0" borderId="0" xfId="0" applyFont="1" applyBorder="1" applyAlignment="1">
      <alignment horizontal="justify" vertical="top"/>
    </xf>
    <xf numFmtId="0" fontId="11" fillId="0" borderId="1" xfId="0" applyFont="1" applyBorder="1" applyAlignment="1">
      <alignment horizontal="left" vertical="top" wrapText="1" indent="1"/>
    </xf>
    <xf numFmtId="0" fontId="11" fillId="0" borderId="0" xfId="0" applyFont="1" applyBorder="1" applyAlignment="1">
      <alignment horizontal="left" vertical="top" wrapText="1" indent="1"/>
    </xf>
    <xf numFmtId="4" fontId="3" fillId="3" borderId="1" xfId="0" applyNumberFormat="1" applyFont="1" applyFill="1" applyBorder="1" applyAlignment="1">
      <alignment horizontal="center" vertical="center" wrapText="1"/>
    </xf>
    <xf numFmtId="4" fontId="3" fillId="3" borderId="2" xfId="0" applyNumberFormat="1" applyFont="1" applyFill="1" applyBorder="1" applyAlignment="1">
      <alignment horizontal="center" vertical="center" wrapText="1"/>
    </xf>
    <xf numFmtId="4" fontId="3" fillId="3" borderId="1" xfId="2" applyNumberFormat="1" applyFont="1" applyFill="1" applyBorder="1" applyAlignment="1">
      <alignment horizontal="left" vertical="center" wrapText="1"/>
    </xf>
    <xf numFmtId="4" fontId="3" fillId="3" borderId="0" xfId="2" applyNumberFormat="1" applyFont="1" applyFill="1" applyBorder="1" applyAlignment="1">
      <alignment horizontal="left" vertical="center" wrapText="1"/>
    </xf>
    <xf numFmtId="4" fontId="3" fillId="3" borderId="2" xfId="2" applyNumberFormat="1" applyFont="1" applyFill="1" applyBorder="1" applyAlignment="1">
      <alignment horizontal="left" vertical="center" wrapText="1"/>
    </xf>
    <xf numFmtId="49" fontId="11" fillId="0" borderId="1" xfId="0" applyNumberFormat="1" applyFont="1" applyBorder="1" applyAlignment="1">
      <alignment horizontal="left" vertical="top" wrapText="1" indent="1"/>
    </xf>
    <xf numFmtId="49" fontId="11" fillId="0" borderId="0" xfId="0" applyNumberFormat="1" applyFont="1" applyBorder="1" applyAlignment="1">
      <alignment horizontal="left" vertical="top" indent="1"/>
    </xf>
    <xf numFmtId="0" fontId="11" fillId="0" borderId="0" xfId="0" applyFont="1" applyBorder="1" applyAlignment="1">
      <alignment horizontal="left" vertical="top" indent="1"/>
    </xf>
    <xf numFmtId="0" fontId="11" fillId="0" borderId="1" xfId="0" applyFont="1" applyBorder="1" applyAlignment="1">
      <alignment horizontal="left" wrapText="1" indent="1"/>
    </xf>
    <xf numFmtId="0" fontId="11" fillId="0" borderId="0" xfId="0" applyFont="1" applyBorder="1" applyAlignment="1">
      <alignment horizontal="left" indent="1"/>
    </xf>
    <xf numFmtId="0" fontId="11" fillId="0" borderId="1" xfId="0" applyFont="1" applyBorder="1" applyAlignment="1">
      <alignment horizontal="justify" vertical="top" wrapText="1"/>
    </xf>
    <xf numFmtId="0" fontId="75" fillId="0" borderId="0" xfId="0" applyFont="1" applyAlignment="1">
      <alignment horizontal="center" vertical="center" wrapText="1" shrinkToFit="1"/>
    </xf>
    <xf numFmtId="0" fontId="72" fillId="0" borderId="0" xfId="0" applyFont="1" applyAlignment="1">
      <alignment horizontal="left" vertical="top" wrapText="1" shrinkToFit="1"/>
    </xf>
    <xf numFmtId="0" fontId="71" fillId="0" borderId="0" xfId="0" applyFont="1" applyAlignment="1">
      <alignment vertical="center" wrapText="1"/>
    </xf>
    <xf numFmtId="0" fontId="58" fillId="0" borderId="0" xfId="0" applyFont="1" applyAlignment="1">
      <alignment vertical="center" wrapText="1"/>
    </xf>
    <xf numFmtId="4" fontId="61" fillId="0" borderId="13" xfId="8" applyNumberFormat="1" applyFont="1" applyBorder="1" applyAlignment="1">
      <alignment wrapText="1"/>
    </xf>
    <xf numFmtId="0" fontId="93" fillId="9" borderId="0" xfId="0" applyFont="1" applyFill="1" applyAlignment="1">
      <alignment horizontal="center" vertical="center" wrapText="1"/>
    </xf>
    <xf numFmtId="0" fontId="7" fillId="0" borderId="0" xfId="0" applyFont="1" applyAlignment="1">
      <alignment horizontal="justify" vertical="justify" wrapText="1"/>
    </xf>
    <xf numFmtId="0" fontId="97" fillId="0" borderId="0" xfId="0" applyFont="1" applyAlignment="1">
      <alignment horizontal="left" vertical="top" wrapText="1"/>
    </xf>
    <xf numFmtId="0" fontId="84" fillId="0" borderId="20" xfId="2" applyFont="1" applyBorder="1" applyAlignment="1">
      <alignment horizontal="center" vertical="center" wrapText="1"/>
    </xf>
    <xf numFmtId="0" fontId="84" fillId="0" borderId="22" xfId="2" applyFont="1" applyBorder="1" applyAlignment="1">
      <alignment horizontal="center" vertical="center" wrapText="1"/>
    </xf>
  </cellXfs>
  <cellStyles count="25">
    <cellStyle name="Check Cell" xfId="10" builtinId="23"/>
    <cellStyle name="Comma" xfId="1" builtinId="3"/>
    <cellStyle name="Hyperlink" xfId="7" builtinId="8"/>
    <cellStyle name="Normal" xfId="0" builtinId="0"/>
    <cellStyle name="Normal 10" xfId="18"/>
    <cellStyle name="Normal 14" xfId="20"/>
    <cellStyle name="Normal 2" xfId="8"/>
    <cellStyle name="Normal 2 2" xfId="11"/>
    <cellStyle name="Normal 2 4" xfId="9"/>
    <cellStyle name="Normal 3 2 2" xfId="12"/>
    <cellStyle name="Normal 34" xfId="3"/>
    <cellStyle name="Normal_Okončana.sit-troškovnik" xfId="21"/>
    <cellStyle name="Normal_Okončana.sit-troškovnik_Sheet1" xfId="24"/>
    <cellStyle name="Normal_Okončana.sit-troškovnik_Sheet1_1" xfId="23"/>
    <cellStyle name="Normal_Sheet1" xfId="22"/>
    <cellStyle name="Normal_TROSKOVNIK-revizija2 2 2 2" xfId="16"/>
    <cellStyle name="Normal_Troškovnik 24SATA" xfId="17"/>
    <cellStyle name="Normal_Troškovnik 24SATA 2" xfId="19"/>
    <cellStyle name="Normal_Troškovnik Savska 2" xfId="15"/>
    <cellStyle name="Normal_Troškovnik Trius 2" xfId="13"/>
    <cellStyle name="Normal1 2" xfId="6"/>
    <cellStyle name="Normalno 15" xfId="5"/>
    <cellStyle name="Normalno 2" xfId="2"/>
    <cellStyle name="Normalno 2 2" xfId="4"/>
    <cellStyle name="Style 1" xfId="14"/>
  </cellStyles>
  <dxfs count="0"/>
  <tableStyles count="0" defaultTableStyle="TableStyleMedium2" defaultPivotStyle="PivotStyleMedium9"/>
  <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123825</xdr:rowOff>
    </xdr:from>
    <xdr:to>
      <xdr:col>4</xdr:col>
      <xdr:colOff>0</xdr:colOff>
      <xdr:row>3</xdr:row>
      <xdr:rowOff>47625</xdr:rowOff>
    </xdr:to>
    <xdr:pic>
      <xdr:nvPicPr>
        <xdr:cNvPr id="2" name="Picture 1" descr="logo Via Factum">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123825"/>
          <a:ext cx="24288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254000</xdr:colOff>
      <xdr:row>22</xdr:row>
      <xdr:rowOff>0</xdr:rowOff>
    </xdr:from>
    <xdr:ext cx="184731" cy="264560"/>
    <xdr:sp macro="" textlink="">
      <xdr:nvSpPr>
        <xdr:cNvPr id="2" name="TextBox 1">
          <a:extLst>
            <a:ext uri="{FF2B5EF4-FFF2-40B4-BE49-F238E27FC236}">
              <a16:creationId xmlns:a16="http://schemas.microsoft.com/office/drawing/2014/main" id="{59D1D585-D975-4207-BC38-8BF08DAD620E}"/>
            </a:ext>
          </a:extLst>
        </xdr:cNvPr>
        <xdr:cNvSpPr txBox="1"/>
      </xdr:nvSpPr>
      <xdr:spPr>
        <a:xfrm>
          <a:off x="635000" y="670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2-pc\Users\Filip%20Maren\Desktop\11-Plat\02-Glavni%20projekt\TenderTroskovnik\HotelSensatori\PLAT_HS_02_TenderTroskovnikObrtnicki_rev01draft02_1608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T"/>
      <sheetName val="rekapitulacija GO"/>
      <sheetName val="A)GRAĐEVINSKI"/>
      <sheetName val="4_Zidarski "/>
      <sheetName val="5_Izolaterski"/>
      <sheetName val="B)OBRTNIČKI"/>
      <sheetName val="1_Bravarski"/>
      <sheetName val="2_ALU"/>
      <sheetName val="3_PVC stol"/>
      <sheetName val="4_Stolarski"/>
      <sheetName val="5_Fasaderski"/>
      <sheetName val="6_Gipskartonski"/>
      <sheetName val="7_Keramičarski"/>
      <sheetName val="8_Kamenoklesarski"/>
      <sheetName val="9_Podopolagački"/>
      <sheetName val="10_Limarski"/>
      <sheetName val="11_Soboslik.+ličilac"/>
      <sheetName val="12_Zeleni krovovi"/>
    </sheetNames>
    <sheetDataSet>
      <sheetData sheetId="0" refreshError="1">
        <row r="18">
          <cell r="C18" t="str">
            <v>GRAĐEVINSKO - OBRTNIČKI RADOVI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viafactum@viafactum.h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4"/>
  <sheetViews>
    <sheetView view="pageBreakPreview" zoomScale="85" zoomScaleNormal="100" zoomScaleSheetLayoutView="85" workbookViewId="0">
      <selection activeCell="D22" sqref="D22"/>
    </sheetView>
  </sheetViews>
  <sheetFormatPr defaultRowHeight="15"/>
  <cols>
    <col min="1" max="8" width="9.140625" style="337"/>
    <col min="9" max="9" width="20.140625" style="337" customWidth="1"/>
    <col min="10" max="10" width="9.140625" style="346"/>
    <col min="11" max="264" width="9.140625" style="312"/>
    <col min="265" max="265" width="20.140625" style="312" customWidth="1"/>
    <col min="266" max="520" width="9.140625" style="312"/>
    <col min="521" max="521" width="20.140625" style="312" customWidth="1"/>
    <col min="522" max="776" width="9.140625" style="312"/>
    <col min="777" max="777" width="20.140625" style="312" customWidth="1"/>
    <col min="778" max="1032" width="9.140625" style="312"/>
    <col min="1033" max="1033" width="20.140625" style="312" customWidth="1"/>
    <col min="1034" max="1288" width="9.140625" style="312"/>
    <col min="1289" max="1289" width="20.140625" style="312" customWidth="1"/>
    <col min="1290" max="1544" width="9.140625" style="312"/>
    <col min="1545" max="1545" width="20.140625" style="312" customWidth="1"/>
    <col min="1546" max="1800" width="9.140625" style="312"/>
    <col min="1801" max="1801" width="20.140625" style="312" customWidth="1"/>
    <col min="1802" max="2056" width="9.140625" style="312"/>
    <col min="2057" max="2057" width="20.140625" style="312" customWidth="1"/>
    <col min="2058" max="2312" width="9.140625" style="312"/>
    <col min="2313" max="2313" width="20.140625" style="312" customWidth="1"/>
    <col min="2314" max="2568" width="9.140625" style="312"/>
    <col min="2569" max="2569" width="20.140625" style="312" customWidth="1"/>
    <col min="2570" max="2824" width="9.140625" style="312"/>
    <col min="2825" max="2825" width="20.140625" style="312" customWidth="1"/>
    <col min="2826" max="3080" width="9.140625" style="312"/>
    <col min="3081" max="3081" width="20.140625" style="312" customWidth="1"/>
    <col min="3082" max="3336" width="9.140625" style="312"/>
    <col min="3337" max="3337" width="20.140625" style="312" customWidth="1"/>
    <col min="3338" max="3592" width="9.140625" style="312"/>
    <col min="3593" max="3593" width="20.140625" style="312" customWidth="1"/>
    <col min="3594" max="3848" width="9.140625" style="312"/>
    <col min="3849" max="3849" width="20.140625" style="312" customWidth="1"/>
    <col min="3850" max="4104" width="9.140625" style="312"/>
    <col min="4105" max="4105" width="20.140625" style="312" customWidth="1"/>
    <col min="4106" max="4360" width="9.140625" style="312"/>
    <col min="4361" max="4361" width="20.140625" style="312" customWidth="1"/>
    <col min="4362" max="4616" width="9.140625" style="312"/>
    <col min="4617" max="4617" width="20.140625" style="312" customWidth="1"/>
    <col min="4618" max="4872" width="9.140625" style="312"/>
    <col min="4873" max="4873" width="20.140625" style="312" customWidth="1"/>
    <col min="4874" max="5128" width="9.140625" style="312"/>
    <col min="5129" max="5129" width="20.140625" style="312" customWidth="1"/>
    <col min="5130" max="5384" width="9.140625" style="312"/>
    <col min="5385" max="5385" width="20.140625" style="312" customWidth="1"/>
    <col min="5386" max="5640" width="9.140625" style="312"/>
    <col min="5641" max="5641" width="20.140625" style="312" customWidth="1"/>
    <col min="5642" max="5896" width="9.140625" style="312"/>
    <col min="5897" max="5897" width="20.140625" style="312" customWidth="1"/>
    <col min="5898" max="6152" width="9.140625" style="312"/>
    <col min="6153" max="6153" width="20.140625" style="312" customWidth="1"/>
    <col min="6154" max="6408" width="9.140625" style="312"/>
    <col min="6409" max="6409" width="20.140625" style="312" customWidth="1"/>
    <col min="6410" max="6664" width="9.140625" style="312"/>
    <col min="6665" max="6665" width="20.140625" style="312" customWidth="1"/>
    <col min="6666" max="6920" width="9.140625" style="312"/>
    <col min="6921" max="6921" width="20.140625" style="312" customWidth="1"/>
    <col min="6922" max="7176" width="9.140625" style="312"/>
    <col min="7177" max="7177" width="20.140625" style="312" customWidth="1"/>
    <col min="7178" max="7432" width="9.140625" style="312"/>
    <col min="7433" max="7433" width="20.140625" style="312" customWidth="1"/>
    <col min="7434" max="7688" width="9.140625" style="312"/>
    <col min="7689" max="7689" width="20.140625" style="312" customWidth="1"/>
    <col min="7690" max="7944" width="9.140625" style="312"/>
    <col min="7945" max="7945" width="20.140625" style="312" customWidth="1"/>
    <col min="7946" max="8200" width="9.140625" style="312"/>
    <col min="8201" max="8201" width="20.140625" style="312" customWidth="1"/>
    <col min="8202" max="8456" width="9.140625" style="312"/>
    <col min="8457" max="8457" width="20.140625" style="312" customWidth="1"/>
    <col min="8458" max="8712" width="9.140625" style="312"/>
    <col min="8713" max="8713" width="20.140625" style="312" customWidth="1"/>
    <col min="8714" max="8968" width="9.140625" style="312"/>
    <col min="8969" max="8969" width="20.140625" style="312" customWidth="1"/>
    <col min="8970" max="9224" width="9.140625" style="312"/>
    <col min="9225" max="9225" width="20.140625" style="312" customWidth="1"/>
    <col min="9226" max="9480" width="9.140625" style="312"/>
    <col min="9481" max="9481" width="20.140625" style="312" customWidth="1"/>
    <col min="9482" max="9736" width="9.140625" style="312"/>
    <col min="9737" max="9737" width="20.140625" style="312" customWidth="1"/>
    <col min="9738" max="9992" width="9.140625" style="312"/>
    <col min="9993" max="9993" width="20.140625" style="312" customWidth="1"/>
    <col min="9994" max="10248" width="9.140625" style="312"/>
    <col min="10249" max="10249" width="20.140625" style="312" customWidth="1"/>
    <col min="10250" max="10504" width="9.140625" style="312"/>
    <col min="10505" max="10505" width="20.140625" style="312" customWidth="1"/>
    <col min="10506" max="10760" width="9.140625" style="312"/>
    <col min="10761" max="10761" width="20.140625" style="312" customWidth="1"/>
    <col min="10762" max="11016" width="9.140625" style="312"/>
    <col min="11017" max="11017" width="20.140625" style="312" customWidth="1"/>
    <col min="11018" max="11272" width="9.140625" style="312"/>
    <col min="11273" max="11273" width="20.140625" style="312" customWidth="1"/>
    <col min="11274" max="11528" width="9.140625" style="312"/>
    <col min="11529" max="11529" width="20.140625" style="312" customWidth="1"/>
    <col min="11530" max="11784" width="9.140625" style="312"/>
    <col min="11785" max="11785" width="20.140625" style="312" customWidth="1"/>
    <col min="11786" max="12040" width="9.140625" style="312"/>
    <col min="12041" max="12041" width="20.140625" style="312" customWidth="1"/>
    <col min="12042" max="12296" width="9.140625" style="312"/>
    <col min="12297" max="12297" width="20.140625" style="312" customWidth="1"/>
    <col min="12298" max="12552" width="9.140625" style="312"/>
    <col min="12553" max="12553" width="20.140625" style="312" customWidth="1"/>
    <col min="12554" max="12808" width="9.140625" style="312"/>
    <col min="12809" max="12809" width="20.140625" style="312" customWidth="1"/>
    <col min="12810" max="13064" width="9.140625" style="312"/>
    <col min="13065" max="13065" width="20.140625" style="312" customWidth="1"/>
    <col min="13066" max="13320" width="9.140625" style="312"/>
    <col min="13321" max="13321" width="20.140625" style="312" customWidth="1"/>
    <col min="13322" max="13576" width="9.140625" style="312"/>
    <col min="13577" max="13577" width="20.140625" style="312" customWidth="1"/>
    <col min="13578" max="13832" width="9.140625" style="312"/>
    <col min="13833" max="13833" width="20.140625" style="312" customWidth="1"/>
    <col min="13834" max="14088" width="9.140625" style="312"/>
    <col min="14089" max="14089" width="20.140625" style="312" customWidth="1"/>
    <col min="14090" max="14344" width="9.140625" style="312"/>
    <col min="14345" max="14345" width="20.140625" style="312" customWidth="1"/>
    <col min="14346" max="14600" width="9.140625" style="312"/>
    <col min="14601" max="14601" width="20.140625" style="312" customWidth="1"/>
    <col min="14602" max="14856" width="9.140625" style="312"/>
    <col min="14857" max="14857" width="20.140625" style="312" customWidth="1"/>
    <col min="14858" max="15112" width="9.140625" style="312"/>
    <col min="15113" max="15113" width="20.140625" style="312" customWidth="1"/>
    <col min="15114" max="15368" width="9.140625" style="312"/>
    <col min="15369" max="15369" width="20.140625" style="312" customWidth="1"/>
    <col min="15370" max="15624" width="9.140625" style="312"/>
    <col min="15625" max="15625" width="20.140625" style="312" customWidth="1"/>
    <col min="15626" max="15880" width="9.140625" style="312"/>
    <col min="15881" max="15881" width="20.140625" style="312" customWidth="1"/>
    <col min="15882" max="16136" width="9.140625" style="312"/>
    <col min="16137" max="16137" width="20.140625" style="312" customWidth="1"/>
    <col min="16138" max="16384" width="9.140625" style="312"/>
  </cols>
  <sheetData>
    <row r="2" spans="1:10" ht="16.5">
      <c r="A2" s="308"/>
      <c r="B2" s="309"/>
      <c r="C2" s="309"/>
      <c r="D2" s="309"/>
      <c r="E2" s="310"/>
      <c r="F2" s="310"/>
      <c r="G2" s="310"/>
      <c r="H2" s="310"/>
      <c r="I2" s="310"/>
      <c r="J2" s="311"/>
    </row>
    <row r="3" spans="1:10" ht="16.5">
      <c r="A3" s="308"/>
      <c r="B3" s="313"/>
      <c r="C3" s="314"/>
      <c r="D3" s="315"/>
      <c r="E3" s="316"/>
      <c r="F3" s="316"/>
      <c r="G3" s="311"/>
      <c r="H3" s="311"/>
      <c r="I3" s="311"/>
      <c r="J3" s="311"/>
    </row>
    <row r="4" spans="1:10" ht="16.5">
      <c r="A4" s="308"/>
      <c r="B4" s="317"/>
      <c r="C4" s="317"/>
      <c r="D4" s="317"/>
      <c r="E4" s="310"/>
      <c r="F4" s="310"/>
      <c r="G4" s="310"/>
      <c r="H4" s="310"/>
      <c r="I4" s="310"/>
      <c r="J4" s="318"/>
    </row>
    <row r="5" spans="1:10" ht="16.5">
      <c r="A5" s="319" t="s">
        <v>325</v>
      </c>
      <c r="B5" s="320"/>
      <c r="C5" s="314"/>
      <c r="D5" s="315"/>
      <c r="E5" s="310"/>
      <c r="F5" s="310"/>
      <c r="G5" s="310"/>
      <c r="H5" s="310"/>
      <c r="I5" s="310"/>
      <c r="J5" s="311"/>
    </row>
    <row r="6" spans="1:10" ht="16.5">
      <c r="A6" s="319" t="s">
        <v>470</v>
      </c>
      <c r="B6" s="313"/>
      <c r="C6" s="314"/>
      <c r="D6" s="315"/>
      <c r="E6" s="316"/>
      <c r="F6" s="316"/>
      <c r="G6" s="316"/>
      <c r="H6" s="316"/>
      <c r="I6" s="316"/>
      <c r="J6" s="316"/>
    </row>
    <row r="7" spans="1:10" ht="16.5">
      <c r="A7" s="321" t="s">
        <v>326</v>
      </c>
      <c r="B7" s="317"/>
      <c r="C7" s="317"/>
      <c r="D7" s="317"/>
      <c r="E7" s="316"/>
      <c r="F7" s="316"/>
      <c r="G7" s="316"/>
      <c r="H7" s="316"/>
      <c r="I7" s="318"/>
      <c r="J7" s="318"/>
    </row>
    <row r="8" spans="1:10" ht="16.5">
      <c r="A8" s="319" t="s">
        <v>327</v>
      </c>
      <c r="B8" s="320"/>
      <c r="C8" s="314"/>
      <c r="D8" s="315"/>
      <c r="E8" s="318"/>
      <c r="F8" s="318"/>
      <c r="G8" s="318"/>
      <c r="H8" s="318"/>
      <c r="I8" s="318"/>
      <c r="J8" s="318"/>
    </row>
    <row r="9" spans="1:10" ht="16.5">
      <c r="A9" s="319" t="s">
        <v>328</v>
      </c>
      <c r="B9" s="317"/>
      <c r="C9" s="317"/>
      <c r="D9" s="317"/>
      <c r="E9" s="322"/>
      <c r="F9" s="322"/>
      <c r="G9" s="311"/>
      <c r="H9" s="323"/>
      <c r="I9" s="323"/>
      <c r="J9" s="323"/>
    </row>
    <row r="10" spans="1:10" ht="17.25">
      <c r="A10" s="324" t="s">
        <v>329</v>
      </c>
      <c r="B10" s="325"/>
      <c r="C10" s="314"/>
      <c r="D10" s="315"/>
      <c r="E10" s="326"/>
      <c r="F10" s="326"/>
      <c r="G10" s="323"/>
      <c r="H10" s="323"/>
      <c r="I10" s="323"/>
      <c r="J10" s="323"/>
    </row>
    <row r="11" spans="1:10" ht="16.5">
      <c r="A11" s="308"/>
      <c r="B11" s="317"/>
      <c r="C11" s="317"/>
      <c r="D11" s="317"/>
      <c r="E11" s="322"/>
      <c r="F11" s="322"/>
      <c r="G11" s="323"/>
      <c r="H11" s="323"/>
      <c r="I11" s="323"/>
      <c r="J11" s="323"/>
    </row>
    <row r="12" spans="1:10" ht="17.25">
      <c r="A12" s="308"/>
      <c r="B12" s="325"/>
      <c r="C12" s="314"/>
      <c r="D12" s="315"/>
      <c r="E12" s="327"/>
      <c r="F12" s="326"/>
      <c r="G12" s="328"/>
      <c r="H12" s="323"/>
      <c r="I12" s="323"/>
      <c r="J12" s="323"/>
    </row>
    <row r="13" spans="1:10" ht="16.5">
      <c r="A13" s="308"/>
      <c r="B13" s="317"/>
      <c r="C13" s="317"/>
      <c r="D13" s="317"/>
      <c r="E13" s="329"/>
      <c r="F13" s="329"/>
      <c r="G13" s="329"/>
      <c r="H13" s="329"/>
      <c r="I13" s="329"/>
      <c r="J13" s="323"/>
    </row>
    <row r="14" spans="1:10" ht="18.75">
      <c r="A14" s="308"/>
      <c r="B14" s="325"/>
      <c r="C14" s="314"/>
      <c r="D14" s="315"/>
      <c r="E14" s="330"/>
      <c r="F14" s="331"/>
      <c r="G14" s="320"/>
      <c r="H14" s="320"/>
      <c r="I14" s="320"/>
      <c r="J14" s="332"/>
    </row>
    <row r="15" spans="1:10" ht="18">
      <c r="A15" s="333"/>
      <c r="B15" s="333"/>
      <c r="C15" s="333"/>
      <c r="D15" s="333"/>
      <c r="E15" s="333"/>
      <c r="F15" s="333"/>
      <c r="G15" s="333"/>
      <c r="H15" s="333"/>
      <c r="I15" s="333"/>
      <c r="J15" s="334"/>
    </row>
    <row r="16" spans="1:10" ht="18">
      <c r="A16" s="334"/>
      <c r="B16" s="334"/>
      <c r="C16" s="334"/>
      <c r="D16" s="334"/>
      <c r="E16" s="334"/>
      <c r="F16" s="334"/>
      <c r="G16" s="334"/>
      <c r="H16" s="334"/>
      <c r="I16" s="334"/>
      <c r="J16" s="334"/>
    </row>
    <row r="17" spans="1:10" ht="18.75">
      <c r="A17" s="334"/>
      <c r="B17" s="334"/>
      <c r="C17" s="334"/>
      <c r="D17" s="334"/>
      <c r="E17" s="334"/>
      <c r="F17" s="334"/>
      <c r="G17" s="334"/>
      <c r="H17" s="334"/>
      <c r="I17" s="334"/>
      <c r="J17" s="320"/>
    </row>
    <row r="18" spans="1:10" ht="17.25">
      <c r="A18" s="308"/>
      <c r="B18" s="325"/>
      <c r="C18" s="314"/>
      <c r="D18" s="315"/>
      <c r="E18" s="331"/>
      <c r="F18" s="331"/>
      <c r="G18" s="320"/>
      <c r="H18" s="320"/>
      <c r="I18" s="320"/>
      <c r="J18" s="335"/>
    </row>
    <row r="19" spans="1:10" ht="17.25">
      <c r="A19" s="308"/>
      <c r="B19" s="325"/>
      <c r="C19" s="314"/>
      <c r="D19" s="315"/>
      <c r="E19" s="331"/>
      <c r="F19" s="331"/>
      <c r="G19" s="320"/>
      <c r="H19" s="320"/>
      <c r="I19" s="320"/>
      <c r="J19" s="335"/>
    </row>
    <row r="20" spans="1:10" ht="20.25">
      <c r="A20" s="308"/>
      <c r="B20" s="336" t="s">
        <v>330</v>
      </c>
      <c r="J20" s="335"/>
    </row>
    <row r="21" spans="1:10" ht="17.25">
      <c r="A21" s="338"/>
      <c r="B21" s="338"/>
      <c r="C21" s="338"/>
      <c r="D21" s="338"/>
      <c r="E21" s="338"/>
      <c r="F21" s="338"/>
      <c r="G21" s="338"/>
      <c r="H21" s="338"/>
      <c r="I21" s="320"/>
      <c r="J21" s="335"/>
    </row>
    <row r="22" spans="1:10" ht="17.25">
      <c r="A22" s="308"/>
      <c r="B22" s="325"/>
      <c r="C22" s="314"/>
      <c r="D22" s="315"/>
      <c r="E22" s="331"/>
      <c r="F22" s="331"/>
      <c r="G22" s="320"/>
      <c r="H22" s="320"/>
      <c r="I22" s="320"/>
      <c r="J22" s="335"/>
    </row>
    <row r="23" spans="1:10" ht="17.25">
      <c r="A23" s="308"/>
      <c r="B23" s="325"/>
      <c r="C23" s="314"/>
      <c r="D23" s="315"/>
      <c r="E23" s="331"/>
      <c r="F23" s="331"/>
      <c r="G23" s="320"/>
      <c r="H23" s="320"/>
      <c r="I23" s="320"/>
      <c r="J23" s="335"/>
    </row>
    <row r="24" spans="1:10" ht="17.25">
      <c r="A24" s="339" t="s">
        <v>331</v>
      </c>
      <c r="B24" s="325"/>
      <c r="C24" s="314"/>
      <c r="D24" s="315"/>
      <c r="E24" s="340" t="s">
        <v>461</v>
      </c>
      <c r="F24" s="331"/>
      <c r="G24" s="320"/>
      <c r="H24" s="320"/>
      <c r="I24" s="320"/>
      <c r="J24" s="335"/>
    </row>
    <row r="25" spans="1:10" ht="17.25">
      <c r="A25" s="308"/>
      <c r="B25" s="325"/>
      <c r="C25" s="314"/>
      <c r="D25" s="315"/>
      <c r="E25" s="341" t="s">
        <v>462</v>
      </c>
      <c r="F25" s="331"/>
      <c r="G25" s="320"/>
      <c r="H25" s="320"/>
      <c r="I25" s="320"/>
      <c r="J25" s="335"/>
    </row>
    <row r="26" spans="1:10" ht="17.25">
      <c r="A26" s="308"/>
      <c r="B26" s="325"/>
      <c r="C26" s="314"/>
      <c r="D26" s="315"/>
      <c r="E26" s="341" t="s">
        <v>463</v>
      </c>
      <c r="F26" s="331"/>
      <c r="G26" s="320"/>
      <c r="H26" s="320"/>
      <c r="I26" s="320"/>
      <c r="J26" s="335"/>
    </row>
    <row r="27" spans="1:10" ht="17.25">
      <c r="A27" s="308"/>
      <c r="B27" s="325"/>
      <c r="C27" s="314"/>
      <c r="D27" s="315"/>
      <c r="E27" s="331"/>
      <c r="F27" s="331"/>
      <c r="G27" s="320"/>
      <c r="H27" s="320"/>
      <c r="I27" s="320"/>
      <c r="J27" s="335"/>
    </row>
    <row r="28" spans="1:10">
      <c r="A28" s="339" t="s">
        <v>332</v>
      </c>
      <c r="B28" s="335"/>
      <c r="C28" s="335"/>
      <c r="D28" s="335"/>
      <c r="E28" s="340" t="s">
        <v>469</v>
      </c>
      <c r="F28" s="335"/>
      <c r="G28" s="335"/>
      <c r="H28" s="335"/>
      <c r="I28" s="335"/>
      <c r="J28" s="335"/>
    </row>
    <row r="29" spans="1:10">
      <c r="A29" s="335"/>
      <c r="B29" s="335"/>
      <c r="C29" s="335"/>
      <c r="D29" s="335"/>
      <c r="E29" s="342"/>
      <c r="F29" s="335"/>
      <c r="G29" s="335"/>
      <c r="H29" s="335"/>
      <c r="I29" s="335"/>
      <c r="J29" s="335"/>
    </row>
    <row r="30" spans="1:10">
      <c r="A30" s="335"/>
      <c r="B30" s="335"/>
      <c r="C30" s="335"/>
      <c r="D30" s="335"/>
      <c r="E30" s="342"/>
      <c r="F30" s="335"/>
      <c r="G30" s="335"/>
      <c r="H30" s="335"/>
      <c r="I30" s="335"/>
      <c r="J30" s="335"/>
    </row>
    <row r="31" spans="1:10" ht="16.5" customHeight="1">
      <c r="A31" s="343" t="s">
        <v>340</v>
      </c>
      <c r="B31" s="344"/>
      <c r="C31" s="344"/>
      <c r="D31" s="344"/>
      <c r="E31" s="345" t="s">
        <v>465</v>
      </c>
      <c r="F31" s="344"/>
      <c r="G31" s="344"/>
      <c r="H31" s="344"/>
      <c r="I31" s="344"/>
      <c r="J31" s="335"/>
    </row>
    <row r="32" spans="1:10">
      <c r="A32" s="335"/>
      <c r="B32" s="335"/>
      <c r="C32" s="335"/>
      <c r="D32" s="335"/>
      <c r="E32" s="335"/>
      <c r="F32" s="335"/>
      <c r="G32" s="335"/>
      <c r="H32" s="335"/>
      <c r="I32" s="335"/>
    </row>
    <row r="34" spans="1:5">
      <c r="A34" s="337" t="s">
        <v>333</v>
      </c>
      <c r="E34" s="337" t="s">
        <v>466</v>
      </c>
    </row>
    <row r="36" spans="1:5">
      <c r="A36" s="339" t="s">
        <v>334</v>
      </c>
      <c r="E36" s="337" t="s">
        <v>467</v>
      </c>
    </row>
    <row r="38" spans="1:5">
      <c r="A38" s="347" t="s">
        <v>335</v>
      </c>
      <c r="E38" s="348" t="s">
        <v>336</v>
      </c>
    </row>
    <row r="39" spans="1:5" ht="26.25" customHeight="1"/>
    <row r="40" spans="1:5">
      <c r="A40" s="339" t="s">
        <v>337</v>
      </c>
      <c r="E40" s="337" t="s">
        <v>338</v>
      </c>
    </row>
    <row r="41" spans="1:5" ht="21" customHeight="1"/>
    <row r="42" spans="1:5">
      <c r="E42" s="348"/>
    </row>
    <row r="43" spans="1:5" ht="26.25" customHeight="1"/>
    <row r="44" spans="1:5">
      <c r="A44" s="337" t="s">
        <v>339</v>
      </c>
      <c r="E44" s="337" t="s">
        <v>468</v>
      </c>
    </row>
  </sheetData>
  <hyperlinks>
    <hyperlink ref="A7" r:id="rId1" display="mailto:viafactum@viafactum.hr"/>
  </hyperlinks>
  <pageMargins left="0.7" right="0.7" top="0.75" bottom="0.75" header="0.3" footer="0.3"/>
  <pageSetup paperSize="9" scale="93"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3300"/>
    <pageSetUpPr fitToPage="1"/>
  </sheetPr>
  <dimension ref="A1:G30"/>
  <sheetViews>
    <sheetView showZeros="0" view="pageBreakPreview" topLeftCell="A12" zoomScaleNormal="100" zoomScaleSheetLayoutView="100" workbookViewId="0">
      <selection activeCell="N20" sqref="N20"/>
    </sheetView>
  </sheetViews>
  <sheetFormatPr defaultRowHeight="12.75"/>
  <cols>
    <col min="1" max="1" width="5.7109375" style="161" customWidth="1"/>
    <col min="2" max="2" width="45.7109375" style="164" customWidth="1"/>
    <col min="3" max="3" width="6.7109375" style="165" customWidth="1"/>
    <col min="4" max="4" width="10.7109375" style="181" customWidth="1"/>
    <col min="5" max="5" width="2.7109375" style="37" customWidth="1"/>
    <col min="6" max="6" width="15.7109375" style="155" customWidth="1"/>
    <col min="7" max="7" width="15.7109375" style="134" customWidth="1"/>
    <col min="8" max="13" width="9.140625" style="134"/>
    <col min="14" max="14" width="20" style="134" customWidth="1"/>
    <col min="15" max="15" width="12.7109375" style="134" customWidth="1"/>
    <col min="16" max="16384" width="9.140625" style="134"/>
  </cols>
  <sheetData>
    <row r="1" spans="1:7" s="111" customFormat="1">
      <c r="A1" s="284"/>
      <c r="B1" s="285"/>
      <c r="C1" s="286"/>
      <c r="D1" s="287"/>
      <c r="E1" s="288"/>
      <c r="F1" s="289"/>
      <c r="G1" s="290"/>
    </row>
    <row r="2" spans="1:7" s="115" customFormat="1" ht="18">
      <c r="A2" s="112"/>
      <c r="B2" s="113" t="str">
        <f>[1]PLAT!C18</f>
        <v>GRAĐEVINSKO - OBRTNIČKI RADOVI</v>
      </c>
      <c r="C2" s="113"/>
      <c r="D2" s="192"/>
      <c r="E2" s="113"/>
      <c r="F2" s="113"/>
      <c r="G2" s="114"/>
    </row>
    <row r="3" spans="1:7" s="111" customFormat="1">
      <c r="A3" s="116"/>
      <c r="B3" s="117"/>
      <c r="C3" s="118"/>
      <c r="D3" s="191"/>
      <c r="F3" s="120"/>
      <c r="G3" s="121"/>
    </row>
    <row r="4" spans="1:7" s="29" customFormat="1" ht="60" customHeight="1">
      <c r="A4" s="226"/>
      <c r="B4" s="122" t="s">
        <v>401</v>
      </c>
      <c r="C4" s="123"/>
      <c r="D4" s="188"/>
      <c r="E4" s="124"/>
      <c r="F4" s="969" t="s">
        <v>367</v>
      </c>
      <c r="G4" s="970"/>
    </row>
    <row r="5" spans="1:7" s="29" customFormat="1" ht="15">
      <c r="A5" s="125"/>
      <c r="B5" s="126"/>
      <c r="C5" s="126"/>
      <c r="D5" s="181"/>
      <c r="E5" s="37"/>
      <c r="F5" s="133"/>
      <c r="G5" s="127"/>
    </row>
    <row r="6" spans="1:7" s="29" customFormat="1">
      <c r="A6" s="128" t="s">
        <v>2</v>
      </c>
      <c r="B6" s="129" t="s">
        <v>3</v>
      </c>
      <c r="C6" s="130" t="s">
        <v>4</v>
      </c>
      <c r="D6" s="193" t="s">
        <v>6</v>
      </c>
      <c r="E6" s="131"/>
      <c r="F6" s="193" t="s">
        <v>5</v>
      </c>
      <c r="G6" s="132" t="s">
        <v>7</v>
      </c>
    </row>
    <row r="7" spans="1:7" ht="15">
      <c r="A7" s="125"/>
      <c r="B7" s="126"/>
      <c r="C7" s="126"/>
      <c r="F7" s="126"/>
      <c r="G7" s="127"/>
    </row>
    <row r="8" spans="1:7" s="138" customFormat="1" ht="258" customHeight="1">
      <c r="A8" s="125" t="s">
        <v>202</v>
      </c>
      <c r="B8" s="352" t="s">
        <v>406</v>
      </c>
      <c r="C8" s="119"/>
      <c r="D8" s="191"/>
      <c r="E8" s="136"/>
      <c r="F8" s="119"/>
      <c r="G8" s="137"/>
    </row>
    <row r="9" spans="1:7" s="138" customFormat="1" ht="240.75" customHeight="1">
      <c r="A9" s="125"/>
      <c r="B9" s="135" t="s">
        <v>402</v>
      </c>
      <c r="C9" s="119"/>
      <c r="D9" s="191"/>
      <c r="E9" s="136"/>
      <c r="F9" s="119"/>
      <c r="G9" s="137"/>
    </row>
    <row r="10" spans="1:7" s="138" customFormat="1" ht="129.75" customHeight="1">
      <c r="A10" s="125"/>
      <c r="B10" s="353" t="s">
        <v>403</v>
      </c>
      <c r="C10" s="119"/>
      <c r="D10" s="191"/>
      <c r="E10" s="136"/>
      <c r="F10" s="119"/>
      <c r="G10" s="137"/>
    </row>
    <row r="11" spans="1:7" s="138" customFormat="1" ht="142.5" customHeight="1">
      <c r="A11" s="125"/>
      <c r="B11" s="353" t="s">
        <v>404</v>
      </c>
      <c r="C11" s="119"/>
      <c r="D11" s="191"/>
      <c r="E11" s="136"/>
      <c r="F11" s="119"/>
      <c r="G11" s="137"/>
    </row>
    <row r="12" spans="1:7" s="138" customFormat="1" ht="130.5" customHeight="1">
      <c r="A12" s="125"/>
      <c r="B12" s="353" t="s">
        <v>405</v>
      </c>
      <c r="C12" s="119"/>
      <c r="D12" s="191"/>
      <c r="E12" s="136"/>
      <c r="F12" s="119"/>
      <c r="G12" s="137"/>
    </row>
    <row r="13" spans="1:7" s="138" customFormat="1" ht="14.25">
      <c r="A13" s="166"/>
      <c r="B13" s="135" t="s">
        <v>100</v>
      </c>
      <c r="C13" s="185" t="s">
        <v>10</v>
      </c>
      <c r="D13" s="190">
        <v>642.54999999999995</v>
      </c>
      <c r="E13" s="136"/>
      <c r="F13" s="197"/>
      <c r="G13" s="187">
        <f>$D13*F13</f>
        <v>0</v>
      </c>
    </row>
    <row r="14" spans="1:7" s="138" customFormat="1">
      <c r="A14" s="125"/>
      <c r="B14" s="135"/>
      <c r="C14" s="185"/>
      <c r="D14" s="189"/>
      <c r="E14" s="136"/>
      <c r="F14" s="196"/>
      <c r="G14" s="187"/>
    </row>
    <row r="15" spans="1:7" ht="106.5" customHeight="1">
      <c r="A15" s="354" t="s">
        <v>203</v>
      </c>
      <c r="B15" s="212" t="s">
        <v>407</v>
      </c>
      <c r="C15" s="185"/>
      <c r="D15" s="189"/>
      <c r="F15" s="196"/>
      <c r="G15" s="187"/>
    </row>
    <row r="16" spans="1:7" s="138" customFormat="1" ht="14.25">
      <c r="A16" s="125"/>
      <c r="B16" s="135" t="s">
        <v>408</v>
      </c>
      <c r="C16" s="185" t="s">
        <v>56</v>
      </c>
      <c r="D16" s="194">
        <v>305.83999999999997</v>
      </c>
      <c r="E16" s="136"/>
      <c r="F16" s="197"/>
      <c r="G16" s="143">
        <f>$D16*F16</f>
        <v>0</v>
      </c>
    </row>
    <row r="17" spans="1:7" s="138" customFormat="1">
      <c r="A17" s="125"/>
      <c r="B17" s="135"/>
      <c r="C17" s="185"/>
      <c r="D17" s="191"/>
      <c r="E17" s="136"/>
      <c r="F17" s="196"/>
      <c r="G17" s="143"/>
    </row>
    <row r="18" spans="1:7" ht="15">
      <c r="A18" s="234"/>
      <c r="B18" s="35" t="s">
        <v>410</v>
      </c>
      <c r="C18" s="36"/>
      <c r="D18" s="36"/>
      <c r="F18" s="36"/>
      <c r="G18" s="38"/>
    </row>
    <row r="19" spans="1:7" ht="15" customHeight="1">
      <c r="A19" s="166"/>
      <c r="B19" s="139"/>
      <c r="C19" s="185"/>
      <c r="D19" s="189"/>
      <c r="F19" s="196"/>
      <c r="G19" s="143"/>
    </row>
    <row r="20" spans="1:7" s="138" customFormat="1" ht="76.5">
      <c r="A20" s="125" t="s">
        <v>204</v>
      </c>
      <c r="B20" s="135" t="s">
        <v>412</v>
      </c>
      <c r="D20" s="191"/>
      <c r="E20" s="136"/>
      <c r="F20" s="196"/>
      <c r="G20" s="143">
        <f>$D20*F20</f>
        <v>0</v>
      </c>
    </row>
    <row r="21" spans="1:7" s="138" customFormat="1" ht="14.25">
      <c r="A21" s="125"/>
      <c r="B21" s="135" t="s">
        <v>411</v>
      </c>
      <c r="C21" s="185" t="s">
        <v>10</v>
      </c>
      <c r="D21" s="197">
        <f>30.41+25.97+25.97</f>
        <v>82.35</v>
      </c>
      <c r="E21" s="136"/>
      <c r="F21" s="197"/>
      <c r="G21" s="143">
        <f>F21*D21</f>
        <v>0</v>
      </c>
    </row>
    <row r="22" spans="1:7" s="150" customFormat="1">
      <c r="A22" s="145"/>
      <c r="B22" s="146"/>
      <c r="C22" s="147"/>
      <c r="D22" s="181"/>
      <c r="E22" s="136"/>
      <c r="F22" s="148"/>
      <c r="G22" s="149"/>
    </row>
    <row r="23" spans="1:7">
      <c r="A23" s="151"/>
      <c r="B23" s="228" t="s">
        <v>401</v>
      </c>
      <c r="C23" s="152"/>
      <c r="D23" s="195"/>
      <c r="E23" s="131"/>
      <c r="F23" s="153"/>
      <c r="G23" s="154"/>
    </row>
    <row r="24" spans="1:7">
      <c r="A24" s="125"/>
      <c r="B24" s="144" t="s">
        <v>15</v>
      </c>
      <c r="C24" s="160"/>
      <c r="F24" s="157"/>
      <c r="G24" s="156">
        <f>SUM(G8:G23)</f>
        <v>0</v>
      </c>
    </row>
    <row r="25" spans="1:7">
      <c r="A25" s="151"/>
      <c r="B25" s="291"/>
      <c r="C25" s="292"/>
      <c r="D25" s="195"/>
      <c r="E25" s="131"/>
      <c r="F25" s="153"/>
      <c r="G25" s="154"/>
    </row>
    <row r="26" spans="1:7" ht="15">
      <c r="A26" s="125"/>
      <c r="B26" s="144"/>
      <c r="C26" s="126"/>
      <c r="F26" s="157"/>
    </row>
    <row r="27" spans="1:7" ht="15">
      <c r="A27" s="125"/>
      <c r="B27" s="158"/>
      <c r="C27" s="159"/>
      <c r="F27" s="157"/>
    </row>
    <row r="28" spans="1:7" ht="15">
      <c r="A28" s="125"/>
      <c r="B28" s="158"/>
      <c r="C28" s="160"/>
      <c r="F28" s="157"/>
    </row>
    <row r="29" spans="1:7">
      <c r="B29" s="162"/>
      <c r="C29" s="163"/>
      <c r="F29" s="157"/>
    </row>
    <row r="30" spans="1:7">
      <c r="B30" s="162"/>
      <c r="C30" s="163"/>
      <c r="F30" s="157"/>
    </row>
  </sheetData>
  <mergeCells count="1">
    <mergeCell ref="F4:G4"/>
  </mergeCells>
  <pageMargins left="0.59055118110236227" right="0.19685039370078741" top="0.59055118110236227" bottom="0.59055118110236227" header="0.19685039370078741" footer="0.19685039370078741"/>
  <pageSetup paperSize="9" scale="9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59999389629810485"/>
    <pageSetUpPr fitToPage="1"/>
  </sheetPr>
  <dimension ref="A1:L50"/>
  <sheetViews>
    <sheetView showZeros="0" view="pageBreakPreview" topLeftCell="A47" zoomScaleNormal="100" zoomScaleSheetLayoutView="100" workbookViewId="0">
      <selection activeCell="L19" sqref="L19"/>
    </sheetView>
  </sheetViews>
  <sheetFormatPr defaultRowHeight="15"/>
  <cols>
    <col min="1" max="1" width="5.7109375" style="59" customWidth="1"/>
    <col min="2" max="2" width="45.7109375" style="73" customWidth="1"/>
    <col min="3" max="3" width="6.7109375" style="74" customWidth="1"/>
    <col min="4" max="4" width="10.7109375" style="15" customWidth="1"/>
    <col min="5" max="5" width="2.7109375" style="11" customWidth="1"/>
    <col min="6" max="6" width="15.7109375" style="75" customWidth="1"/>
    <col min="7" max="7" width="15.7109375" style="15" customWidth="1"/>
  </cols>
  <sheetData>
    <row r="1" spans="1:8" s="4" customFormat="1" ht="18">
      <c r="A1" s="273"/>
      <c r="B1" s="274"/>
      <c r="C1" s="274"/>
      <c r="D1" s="274"/>
      <c r="E1" s="274"/>
      <c r="F1" s="274"/>
      <c r="G1" s="275"/>
    </row>
    <row r="2" spans="1:8" s="8" customFormat="1" ht="18">
      <c r="A2" s="5"/>
      <c r="B2" s="6" t="s">
        <v>0</v>
      </c>
      <c r="C2" s="6"/>
      <c r="D2" s="6"/>
      <c r="E2" s="6"/>
      <c r="F2" s="6"/>
      <c r="G2" s="7"/>
    </row>
    <row r="3" spans="1:8" s="4" customFormat="1" ht="18">
      <c r="A3" s="1"/>
      <c r="B3" s="2"/>
      <c r="C3" s="2"/>
      <c r="D3" s="2"/>
      <c r="E3" s="2"/>
      <c r="F3" s="2"/>
      <c r="G3" s="3"/>
    </row>
    <row r="4" spans="1:8" s="12" customFormat="1" ht="60" customHeight="1">
      <c r="A4" s="236"/>
      <c r="B4" s="9" t="s">
        <v>397</v>
      </c>
      <c r="C4" s="10"/>
      <c r="D4" s="237"/>
      <c r="E4" s="11"/>
      <c r="F4" s="969" t="s">
        <v>367</v>
      </c>
      <c r="G4" s="970"/>
    </row>
    <row r="5" spans="1:8" s="12" customFormat="1">
      <c r="A5" s="13"/>
      <c r="B5" s="14"/>
      <c r="C5" s="14"/>
      <c r="D5" s="15"/>
      <c r="E5" s="11"/>
      <c r="G5" s="15"/>
    </row>
    <row r="6" spans="1:8" s="12" customFormat="1">
      <c r="A6" s="16" t="s">
        <v>2</v>
      </c>
      <c r="B6" s="17" t="s">
        <v>3</v>
      </c>
      <c r="C6" s="18" t="s">
        <v>4</v>
      </c>
      <c r="D6" s="19" t="s">
        <v>6</v>
      </c>
      <c r="E6" s="20"/>
      <c r="F6" s="19" t="s">
        <v>5</v>
      </c>
      <c r="G6" s="19" t="s">
        <v>7</v>
      </c>
    </row>
    <row r="7" spans="1:8">
      <c r="A7" s="22"/>
      <c r="B7" s="23"/>
      <c r="C7" s="24"/>
      <c r="D7" s="25"/>
      <c r="E7" s="26"/>
      <c r="F7" s="26"/>
      <c r="G7" s="27"/>
    </row>
    <row r="8" spans="1:8" s="29" customFormat="1">
      <c r="A8" s="971" t="s">
        <v>8</v>
      </c>
      <c r="B8" s="972"/>
      <c r="C8" s="972"/>
      <c r="D8" s="972"/>
      <c r="E8" s="972"/>
      <c r="F8" s="972"/>
      <c r="G8" s="973"/>
      <c r="H8" s="28"/>
    </row>
    <row r="9" spans="1:8">
      <c r="A9" s="965"/>
      <c r="B9" s="966"/>
      <c r="C9" s="966"/>
      <c r="D9" s="966"/>
      <c r="E9" s="966"/>
      <c r="F9" s="966"/>
      <c r="G9" s="27"/>
    </row>
    <row r="10" spans="1:8" ht="283.5" customHeight="1">
      <c r="A10" s="967" t="s">
        <v>169</v>
      </c>
      <c r="B10" s="976"/>
      <c r="C10" s="976"/>
      <c r="D10" s="976"/>
      <c r="E10" s="976"/>
      <c r="F10" s="976"/>
      <c r="G10" s="27"/>
    </row>
    <row r="11" spans="1:8" ht="77.25" customHeight="1">
      <c r="A11" s="967" t="s">
        <v>170</v>
      </c>
      <c r="B11" s="976"/>
      <c r="C11" s="976"/>
      <c r="D11" s="976"/>
      <c r="E11" s="976"/>
      <c r="F11" s="976"/>
      <c r="G11" s="27"/>
    </row>
    <row r="12" spans="1:8" ht="65.25" customHeight="1">
      <c r="A12" s="967" t="s">
        <v>77</v>
      </c>
      <c r="B12" s="976"/>
      <c r="C12" s="976"/>
      <c r="D12" s="976"/>
      <c r="E12" s="976"/>
      <c r="F12" s="976"/>
      <c r="G12" s="27"/>
    </row>
    <row r="13" spans="1:8">
      <c r="A13" s="238"/>
      <c r="B13" s="225"/>
      <c r="C13" s="31"/>
      <c r="D13" s="32"/>
      <c r="E13" s="30"/>
      <c r="F13" s="30"/>
      <c r="G13" s="33"/>
    </row>
    <row r="14" spans="1:8">
      <c r="A14" s="34"/>
      <c r="B14" s="35"/>
      <c r="C14" s="36"/>
      <c r="D14" s="36"/>
      <c r="E14" s="37"/>
      <c r="F14" s="36"/>
      <c r="G14" s="38"/>
    </row>
    <row r="15" spans="1:8">
      <c r="A15" s="39"/>
      <c r="B15" s="40"/>
      <c r="C15" s="41"/>
      <c r="D15" s="42"/>
      <c r="F15" s="43"/>
      <c r="G15" s="42"/>
    </row>
    <row r="16" spans="1:8">
      <c r="A16" s="44"/>
      <c r="B16" s="45"/>
      <c r="C16" s="46"/>
      <c r="D16" s="47"/>
      <c r="E16" s="48"/>
      <c r="F16" s="49"/>
      <c r="G16" s="50"/>
    </row>
    <row r="17" spans="1:12" ht="118.5" customHeight="1">
      <c r="A17" s="13" t="s">
        <v>205</v>
      </c>
      <c r="B17" s="60" t="s">
        <v>171</v>
      </c>
      <c r="C17" s="53"/>
      <c r="D17" s="61"/>
      <c r="F17" s="62"/>
      <c r="G17" s="56"/>
    </row>
    <row r="18" spans="1:12">
      <c r="A18" s="108" t="s">
        <v>190</v>
      </c>
      <c r="B18" s="60" t="s">
        <v>112</v>
      </c>
      <c r="C18" s="53" t="s">
        <v>10</v>
      </c>
      <c r="D18" s="54">
        <f>(4.89+3.56+4.2)+(1.98)+(14.98)+(12.4+12.4)+(6.1+18.71)+(4.72+3.54)</f>
        <v>87.48</v>
      </c>
      <c r="F18" s="55"/>
      <c r="G18" s="56">
        <f>$D18*F18</f>
        <v>0</v>
      </c>
    </row>
    <row r="19" spans="1:12">
      <c r="A19" s="108" t="s">
        <v>191</v>
      </c>
      <c r="B19" s="52" t="s">
        <v>67</v>
      </c>
      <c r="C19" s="53" t="s">
        <v>10</v>
      </c>
      <c r="D19" s="54">
        <f>765.42-87.48-78.31</f>
        <v>599.62999999999988</v>
      </c>
      <c r="F19" s="55"/>
      <c r="G19" s="56">
        <f>$D19*F19</f>
        <v>0</v>
      </c>
      <c r="H19" s="88"/>
      <c r="I19" s="88"/>
      <c r="J19" s="88"/>
      <c r="K19" s="88"/>
      <c r="L19" s="88"/>
    </row>
    <row r="20" spans="1:12">
      <c r="A20" s="108" t="s">
        <v>192</v>
      </c>
      <c r="B20" s="52" t="s">
        <v>477</v>
      </c>
      <c r="C20" s="53" t="s">
        <v>10</v>
      </c>
      <c r="D20" s="54">
        <f>18.71+6.1</f>
        <v>24.810000000000002</v>
      </c>
      <c r="F20" s="55"/>
      <c r="G20" s="56">
        <f>$D20*F20</f>
        <v>0</v>
      </c>
      <c r="H20" s="88"/>
      <c r="I20" s="88"/>
      <c r="J20" s="88"/>
      <c r="K20" s="88"/>
      <c r="L20" s="88"/>
    </row>
    <row r="21" spans="1:12">
      <c r="A21" s="109"/>
      <c r="B21" s="57"/>
      <c r="C21" s="41"/>
      <c r="F21" s="58"/>
    </row>
    <row r="22" spans="1:12" s="77" customFormat="1" ht="118.5" customHeight="1">
      <c r="A22" s="13" t="s">
        <v>206</v>
      </c>
      <c r="B22" s="60" t="s">
        <v>113</v>
      </c>
      <c r="C22" s="53"/>
      <c r="D22" s="61"/>
      <c r="E22" s="87"/>
      <c r="F22" s="62"/>
      <c r="G22" s="56"/>
    </row>
    <row r="23" spans="1:12" s="77" customFormat="1">
      <c r="A23" s="99"/>
      <c r="B23" s="64" t="s">
        <v>65</v>
      </c>
      <c r="C23" s="53" t="s">
        <v>42</v>
      </c>
      <c r="D23" s="54">
        <v>12</v>
      </c>
      <c r="E23" s="87"/>
      <c r="F23" s="55"/>
      <c r="G23" s="56">
        <f>$D23*F23</f>
        <v>0</v>
      </c>
    </row>
    <row r="24" spans="1:12">
      <c r="A24" s="109"/>
      <c r="B24" s="57"/>
      <c r="C24" s="41"/>
      <c r="F24" s="58"/>
    </row>
    <row r="25" spans="1:12" s="77" customFormat="1" ht="143.25" customHeight="1">
      <c r="A25" s="13" t="s">
        <v>208</v>
      </c>
      <c r="B25" s="60" t="s">
        <v>72</v>
      </c>
      <c r="C25" s="53"/>
      <c r="D25" s="61"/>
      <c r="E25" s="87"/>
      <c r="F25" s="62"/>
      <c r="G25" s="56"/>
    </row>
    <row r="26" spans="1:12" s="77" customFormat="1">
      <c r="A26" s="99"/>
      <c r="B26" s="64" t="s">
        <v>66</v>
      </c>
      <c r="C26" s="53" t="s">
        <v>22</v>
      </c>
      <c r="D26" s="54">
        <f>(0.25+0.25)*2*3.93+(0.4+0.25)*2*3.15+(0.25+0.35+0.25)*3.15</f>
        <v>10.702500000000001</v>
      </c>
      <c r="E26" s="87"/>
      <c r="F26" s="55"/>
      <c r="G26" s="56">
        <f>$D26*F26</f>
        <v>0</v>
      </c>
    </row>
    <row r="27" spans="1:12">
      <c r="A27" s="109"/>
      <c r="B27" s="57"/>
      <c r="C27" s="41"/>
      <c r="F27" s="58"/>
    </row>
    <row r="28" spans="1:12" s="77" customFormat="1" ht="156.75" customHeight="1">
      <c r="A28" s="13" t="s">
        <v>207</v>
      </c>
      <c r="B28" s="60" t="s">
        <v>383</v>
      </c>
      <c r="C28" s="53"/>
      <c r="D28" s="61"/>
      <c r="E28" s="87"/>
      <c r="F28" s="62"/>
      <c r="G28" s="56"/>
    </row>
    <row r="29" spans="1:12" s="77" customFormat="1">
      <c r="A29" s="99"/>
      <c r="B29" s="64" t="s">
        <v>384</v>
      </c>
      <c r="C29" s="53" t="s">
        <v>22</v>
      </c>
      <c r="D29" s="54">
        <f>3.45*3.93</f>
        <v>13.5585</v>
      </c>
      <c r="E29" s="87"/>
      <c r="F29" s="55"/>
      <c r="G29" s="56">
        <f>$D29*F29</f>
        <v>0</v>
      </c>
    </row>
    <row r="30" spans="1:12">
      <c r="A30" s="109"/>
      <c r="B30" s="57"/>
      <c r="C30" s="41"/>
      <c r="F30" s="58"/>
    </row>
    <row r="31" spans="1:12" s="77" customFormat="1" ht="145.5" customHeight="1">
      <c r="A31" s="13" t="s">
        <v>323</v>
      </c>
      <c r="B31" s="60" t="s">
        <v>385</v>
      </c>
      <c r="C31" s="53"/>
      <c r="D31" s="61"/>
      <c r="E31" s="87"/>
      <c r="F31" s="62"/>
      <c r="G31" s="56"/>
    </row>
    <row r="32" spans="1:12" s="77" customFormat="1">
      <c r="A32" s="99"/>
      <c r="B32" s="64" t="s">
        <v>69</v>
      </c>
      <c r="C32" s="53" t="s">
        <v>22</v>
      </c>
      <c r="D32" s="54">
        <f>1.65*3.93+(1.6+0.8+2.4)*3.93+(0.95*2)*4</f>
        <v>32.948500000000003</v>
      </c>
      <c r="E32" s="87"/>
      <c r="F32" s="55"/>
      <c r="G32" s="56">
        <f>$D32*F32</f>
        <v>0</v>
      </c>
    </row>
    <row r="33" spans="1:7">
      <c r="A33" s="109"/>
      <c r="B33" s="57"/>
      <c r="C33" s="41"/>
      <c r="F33" s="58"/>
    </row>
    <row r="34" spans="1:7" s="77" customFormat="1" ht="142.5" customHeight="1">
      <c r="A34" s="13" t="s">
        <v>398</v>
      </c>
      <c r="B34" s="60" t="s">
        <v>478</v>
      </c>
      <c r="C34" s="53"/>
      <c r="D34" s="61"/>
      <c r="E34" s="87"/>
      <c r="F34" s="62"/>
      <c r="G34" s="56"/>
    </row>
    <row r="35" spans="1:7" s="77" customFormat="1">
      <c r="A35" s="99"/>
      <c r="B35" s="64" t="s">
        <v>70</v>
      </c>
      <c r="C35" s="53" t="s">
        <v>22</v>
      </c>
      <c r="D35" s="54">
        <f>4.35*3.93+(6.2*3.93)+(2.8*3.93)+(7.05*3.93)</f>
        <v>80.171999999999997</v>
      </c>
      <c r="E35" s="87"/>
      <c r="F35" s="55"/>
      <c r="G35" s="56">
        <f>$D35*F35</f>
        <v>0</v>
      </c>
    </row>
    <row r="36" spans="1:7">
      <c r="A36" s="109"/>
      <c r="B36" s="57"/>
      <c r="C36" s="41"/>
      <c r="F36" s="58"/>
    </row>
    <row r="37" spans="1:7" s="77" customFormat="1" ht="144" customHeight="1">
      <c r="A37" s="13" t="s">
        <v>399</v>
      </c>
      <c r="B37" s="60" t="s">
        <v>479</v>
      </c>
      <c r="C37" s="53"/>
      <c r="D37" s="61"/>
      <c r="E37" s="87"/>
      <c r="F37" s="62"/>
      <c r="G37" s="56"/>
    </row>
    <row r="38" spans="1:7" s="77" customFormat="1">
      <c r="A38" s="99"/>
      <c r="B38" s="64" t="s">
        <v>68</v>
      </c>
      <c r="C38" s="53" t="s">
        <v>22</v>
      </c>
      <c r="D38" s="54">
        <f>(0.45+2.75)*3.93+(2+1.25)*3.93+(2.35*3.15)+(2.75+2.75*3.15)+(11.55*3.15)-(3.62*2)+(3+4.25+4.3)*3.93</f>
        <v>118.69750000000002</v>
      </c>
      <c r="E38" s="87"/>
      <c r="F38" s="55"/>
      <c r="G38" s="56">
        <f>$D38*F38</f>
        <v>0</v>
      </c>
    </row>
    <row r="39" spans="1:7" s="134" customFormat="1" ht="12.75">
      <c r="A39" s="167"/>
      <c r="B39" s="168"/>
      <c r="C39" s="169"/>
      <c r="D39" s="119"/>
      <c r="E39" s="170"/>
      <c r="F39" s="171"/>
      <c r="G39" s="172"/>
    </row>
    <row r="40" spans="1:7" s="134" customFormat="1" ht="76.5">
      <c r="A40" s="177" t="s">
        <v>400</v>
      </c>
      <c r="B40" s="173" t="s">
        <v>259</v>
      </c>
      <c r="C40" s="140"/>
      <c r="D40" s="174"/>
      <c r="E40" s="170"/>
      <c r="F40" s="175"/>
      <c r="G40" s="172"/>
    </row>
    <row r="41" spans="1:7" s="134" customFormat="1" ht="14.25">
      <c r="A41" s="178" t="s">
        <v>190</v>
      </c>
      <c r="B41" s="176" t="s">
        <v>73</v>
      </c>
      <c r="C41" s="140" t="s">
        <v>10</v>
      </c>
      <c r="D41" s="141">
        <v>1</v>
      </c>
      <c r="E41" s="170"/>
      <c r="F41" s="142"/>
      <c r="G41" s="143">
        <f>$D41*F41</f>
        <v>0</v>
      </c>
    </row>
    <row r="42" spans="1:7" s="134" customFormat="1" ht="14.25">
      <c r="A42" s="178" t="s">
        <v>191</v>
      </c>
      <c r="B42" s="176" t="s">
        <v>74</v>
      </c>
      <c r="C42" s="140" t="s">
        <v>10</v>
      </c>
      <c r="D42" s="141">
        <v>1</v>
      </c>
      <c r="E42" s="170"/>
      <c r="F42" s="142"/>
      <c r="G42" s="143">
        <f>$D42*F42</f>
        <v>0</v>
      </c>
    </row>
    <row r="43" spans="1:7" s="134" customFormat="1" ht="14.25">
      <c r="A43" s="178" t="s">
        <v>192</v>
      </c>
      <c r="B43" s="176" t="s">
        <v>75</v>
      </c>
      <c r="C43" s="140" t="s">
        <v>10</v>
      </c>
      <c r="D43" s="141">
        <v>1</v>
      </c>
      <c r="E43" s="170"/>
      <c r="F43" s="142"/>
      <c r="G43" s="143">
        <f>$D43*F43</f>
        <v>0</v>
      </c>
    </row>
    <row r="44" spans="1:7" s="77" customFormat="1">
      <c r="A44" s="84"/>
      <c r="B44" s="85"/>
      <c r="C44" s="81"/>
      <c r="D44" s="82"/>
      <c r="E44" s="76"/>
      <c r="F44" s="83"/>
      <c r="G44" s="80"/>
    </row>
    <row r="45" spans="1:7" s="92" customFormat="1">
      <c r="A45" s="68"/>
      <c r="B45" s="69" t="s">
        <v>397</v>
      </c>
      <c r="C45" s="70"/>
      <c r="D45" s="89"/>
      <c r="E45" s="90"/>
      <c r="F45" s="71"/>
      <c r="G45" s="91"/>
    </row>
    <row r="46" spans="1:7" s="92" customFormat="1">
      <c r="A46" s="66"/>
      <c r="B46" s="67" t="s">
        <v>15</v>
      </c>
      <c r="C46" s="206"/>
      <c r="D46" s="93"/>
      <c r="E46" s="87"/>
      <c r="F46" s="65"/>
      <c r="G46" s="72">
        <f>SUM(G16:G45)</f>
        <v>0</v>
      </c>
    </row>
    <row r="47" spans="1:7" s="92" customFormat="1">
      <c r="A47" s="277"/>
      <c r="B47" s="278"/>
      <c r="C47" s="279"/>
      <c r="D47" s="91"/>
      <c r="E47" s="90"/>
      <c r="F47" s="280"/>
      <c r="G47" s="91"/>
    </row>
    <row r="50" spans="2:2">
      <c r="B50" s="107"/>
    </row>
  </sheetData>
  <mergeCells count="6">
    <mergeCell ref="A12:F12"/>
    <mergeCell ref="F4:G4"/>
    <mergeCell ref="A8:G8"/>
    <mergeCell ref="A9:F9"/>
    <mergeCell ref="A10:F10"/>
    <mergeCell ref="A11:F11"/>
  </mergeCells>
  <pageMargins left="0.59055118110236227" right="0.19685039370078741" top="0.59055118110236227" bottom="0.59055118110236227" header="0.19685039370078741" footer="0.19685039370078741"/>
  <pageSetup paperSize="9" scale="91" fitToHeight="0" orientation="portrait" r:id="rId1"/>
  <ignoredErrors>
    <ignoredError sqref="D18:D20 D29"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39997558519241921"/>
    <pageSetUpPr fitToPage="1"/>
  </sheetPr>
  <dimension ref="A1:R60"/>
  <sheetViews>
    <sheetView showZeros="0" view="pageBreakPreview" topLeftCell="A16" zoomScaleNormal="100" zoomScaleSheetLayoutView="100" workbookViewId="0">
      <selection activeCell="F21" sqref="F21:F30"/>
    </sheetView>
  </sheetViews>
  <sheetFormatPr defaultRowHeight="15"/>
  <cols>
    <col min="1" max="1" width="5.7109375" style="59" customWidth="1"/>
    <col min="2" max="2" width="45.7109375" style="73" customWidth="1"/>
    <col min="3" max="3" width="6.7109375" style="74" customWidth="1"/>
    <col min="4" max="4" width="10.7109375" style="15" customWidth="1"/>
    <col min="5" max="5" width="2.7109375" style="11" customWidth="1"/>
    <col min="6" max="6" width="15.7109375" style="75" customWidth="1"/>
    <col min="7" max="7" width="15.7109375" style="15" customWidth="1"/>
  </cols>
  <sheetData>
    <row r="1" spans="1:8" s="4" customFormat="1" ht="18">
      <c r="A1" s="273"/>
      <c r="B1" s="274"/>
      <c r="C1" s="274"/>
      <c r="D1" s="274"/>
      <c r="E1" s="274"/>
      <c r="F1" s="274"/>
      <c r="G1" s="275"/>
    </row>
    <row r="2" spans="1:8" s="8" customFormat="1" ht="18">
      <c r="A2" s="5"/>
      <c r="B2" s="6" t="s">
        <v>0</v>
      </c>
      <c r="C2" s="6"/>
      <c r="D2" s="6"/>
      <c r="E2" s="6"/>
      <c r="F2" s="6"/>
      <c r="G2" s="7"/>
    </row>
    <row r="3" spans="1:8" s="4" customFormat="1" ht="18">
      <c r="A3" s="1"/>
      <c r="B3" s="2"/>
      <c r="C3" s="2"/>
      <c r="D3" s="2"/>
      <c r="E3" s="2"/>
      <c r="F3" s="2"/>
      <c r="G3" s="3"/>
    </row>
    <row r="4" spans="1:8" s="12" customFormat="1" ht="60" customHeight="1">
      <c r="A4" s="222"/>
      <c r="B4" s="9" t="s">
        <v>413</v>
      </c>
      <c r="C4" s="10"/>
      <c r="D4" s="223"/>
      <c r="E4" s="11"/>
      <c r="F4" s="969" t="s">
        <v>367</v>
      </c>
      <c r="G4" s="970"/>
    </row>
    <row r="5" spans="1:8" s="12" customFormat="1">
      <c r="A5" s="13"/>
      <c r="B5" s="14"/>
      <c r="C5" s="14"/>
      <c r="D5" s="15"/>
      <c r="E5" s="11"/>
      <c r="G5" s="15"/>
    </row>
    <row r="6" spans="1:8" s="12" customFormat="1">
      <c r="A6" s="16" t="s">
        <v>2</v>
      </c>
      <c r="B6" s="17" t="s">
        <v>3</v>
      </c>
      <c r="C6" s="18" t="s">
        <v>4</v>
      </c>
      <c r="D6" s="19" t="s">
        <v>6</v>
      </c>
      <c r="E6" s="20"/>
      <c r="F6" s="19" t="s">
        <v>5</v>
      </c>
      <c r="G6" s="19" t="s">
        <v>7</v>
      </c>
    </row>
    <row r="7" spans="1:8">
      <c r="A7" s="22"/>
      <c r="B7" s="23"/>
      <c r="C7" s="24"/>
      <c r="D7" s="25"/>
      <c r="E7" s="26"/>
      <c r="F7" s="26"/>
      <c r="G7" s="27"/>
    </row>
    <row r="8" spans="1:8" s="29" customFormat="1">
      <c r="A8" s="971" t="s">
        <v>8</v>
      </c>
      <c r="B8" s="972"/>
      <c r="C8" s="972"/>
      <c r="D8" s="972"/>
      <c r="E8" s="972"/>
      <c r="F8" s="972"/>
      <c r="G8" s="973"/>
      <c r="H8" s="28"/>
    </row>
    <row r="9" spans="1:8">
      <c r="A9" s="965"/>
      <c r="B9" s="966"/>
      <c r="C9" s="966"/>
      <c r="D9" s="966"/>
      <c r="E9" s="966"/>
      <c r="F9" s="966"/>
      <c r="G9" s="27"/>
    </row>
    <row r="10" spans="1:8" ht="184.5" customHeight="1">
      <c r="A10" s="967" t="s">
        <v>172</v>
      </c>
      <c r="B10" s="976"/>
      <c r="C10" s="976"/>
      <c r="D10" s="976"/>
      <c r="E10" s="976"/>
      <c r="F10" s="976"/>
      <c r="G10" s="27"/>
    </row>
    <row r="11" spans="1:8" ht="95.25" customHeight="1">
      <c r="A11" s="967" t="s">
        <v>173</v>
      </c>
      <c r="B11" s="976"/>
      <c r="C11" s="976"/>
      <c r="D11" s="976"/>
      <c r="E11" s="976"/>
      <c r="F11" s="976"/>
      <c r="G11" s="27"/>
    </row>
    <row r="12" spans="1:8" ht="85.5" customHeight="1">
      <c r="A12" s="967" t="s">
        <v>81</v>
      </c>
      <c r="B12" s="976"/>
      <c r="C12" s="976"/>
      <c r="D12" s="976"/>
      <c r="E12" s="976"/>
      <c r="F12" s="976"/>
      <c r="G12" s="27"/>
    </row>
    <row r="13" spans="1:8">
      <c r="A13" s="965"/>
      <c r="B13" s="966"/>
      <c r="C13" s="966"/>
      <c r="D13" s="966"/>
      <c r="E13" s="966"/>
      <c r="F13" s="966"/>
      <c r="G13" s="27"/>
    </row>
    <row r="14" spans="1:8">
      <c r="A14" s="965"/>
      <c r="B14" s="966"/>
      <c r="C14" s="966"/>
      <c r="D14" s="966"/>
      <c r="E14" s="966"/>
      <c r="F14" s="966"/>
      <c r="G14" s="27"/>
    </row>
    <row r="15" spans="1:8">
      <c r="A15" s="224"/>
      <c r="B15" s="225"/>
      <c r="C15" s="31"/>
      <c r="D15" s="32"/>
      <c r="E15" s="30"/>
      <c r="F15" s="30"/>
      <c r="G15" s="33"/>
    </row>
    <row r="16" spans="1:8">
      <c r="A16" s="224"/>
      <c r="B16" s="225"/>
      <c r="C16" s="31"/>
      <c r="D16" s="32"/>
      <c r="E16" s="30"/>
      <c r="F16" s="30"/>
      <c r="G16" s="33"/>
    </row>
    <row r="17" spans="1:18">
      <c r="A17" s="34"/>
      <c r="B17" s="35"/>
      <c r="C17" s="36"/>
      <c r="D17" s="36"/>
      <c r="E17" s="37"/>
      <c r="F17" s="36"/>
      <c r="G17" s="38"/>
    </row>
    <row r="18" spans="1:18">
      <c r="A18" s="39"/>
      <c r="B18" s="40"/>
      <c r="C18" s="41"/>
      <c r="D18" s="42"/>
      <c r="F18" s="43"/>
      <c r="G18" s="42"/>
    </row>
    <row r="19" spans="1:18">
      <c r="A19" s="44"/>
      <c r="B19" s="45"/>
      <c r="C19" s="46"/>
      <c r="D19" s="47"/>
      <c r="E19" s="48"/>
      <c r="F19" s="49"/>
      <c r="G19" s="50"/>
    </row>
    <row r="20" spans="1:18" ht="57" customHeight="1">
      <c r="A20" s="13" t="s">
        <v>209</v>
      </c>
      <c r="B20" s="60" t="s">
        <v>343</v>
      </c>
      <c r="C20" s="53"/>
      <c r="D20" s="61"/>
      <c r="F20" s="62"/>
      <c r="G20" s="56"/>
    </row>
    <row r="21" spans="1:18">
      <c r="A21" s="108"/>
      <c r="B21" s="110" t="s">
        <v>82</v>
      </c>
      <c r="C21" s="53" t="s">
        <v>10</v>
      </c>
      <c r="D21" s="54">
        <v>1337</v>
      </c>
      <c r="F21" s="55"/>
      <c r="G21" s="56">
        <f>$D21*F21</f>
        <v>0</v>
      </c>
      <c r="H21" s="88"/>
      <c r="I21" s="88"/>
      <c r="J21" s="88"/>
      <c r="K21" s="88"/>
      <c r="L21" s="88"/>
    </row>
    <row r="22" spans="1:18" s="186" customFormat="1">
      <c r="A22" s="13"/>
      <c r="B22" s="60"/>
      <c r="C22" s="53"/>
      <c r="D22" s="61"/>
      <c r="E22" s="11"/>
      <c r="F22" s="62"/>
      <c r="G22" s="56"/>
    </row>
    <row r="23" spans="1:18" s="186" customFormat="1" ht="70.5" customHeight="1">
      <c r="A23" s="13" t="s">
        <v>210</v>
      </c>
      <c r="B23" s="60" t="s">
        <v>342</v>
      </c>
      <c r="C23" s="53"/>
      <c r="D23" s="61"/>
      <c r="E23" s="11"/>
      <c r="F23" s="62"/>
      <c r="G23" s="56"/>
    </row>
    <row r="24" spans="1:18" s="186" customFormat="1">
      <c r="A24" s="108"/>
      <c r="B24" s="110" t="s">
        <v>322</v>
      </c>
      <c r="C24" s="53" t="s">
        <v>10</v>
      </c>
      <c r="D24" s="54">
        <v>370</v>
      </c>
      <c r="E24" s="11"/>
      <c r="F24" s="55"/>
      <c r="G24" s="56">
        <f>$D24*F24</f>
        <v>0</v>
      </c>
      <c r="H24" s="88"/>
      <c r="I24" s="88"/>
      <c r="J24" s="88"/>
      <c r="K24" s="88"/>
      <c r="L24" s="88"/>
    </row>
    <row r="25" spans="1:18">
      <c r="A25" s="109"/>
      <c r="B25" s="57"/>
      <c r="C25" s="41"/>
      <c r="F25" s="58"/>
    </row>
    <row r="26" spans="1:18" s="77" customFormat="1" ht="58.5" customHeight="1">
      <c r="A26" s="13" t="s">
        <v>211</v>
      </c>
      <c r="B26" s="60" t="s">
        <v>174</v>
      </c>
      <c r="C26" s="53"/>
      <c r="D26" s="61"/>
      <c r="E26" s="87"/>
      <c r="F26" s="62"/>
      <c r="G26" s="56"/>
    </row>
    <row r="27" spans="1:18" s="77" customFormat="1">
      <c r="A27" s="99"/>
      <c r="B27" s="180" t="s">
        <v>83</v>
      </c>
      <c r="C27" s="53" t="s">
        <v>22</v>
      </c>
      <c r="D27" s="54">
        <v>80</v>
      </c>
      <c r="E27" s="87"/>
      <c r="F27" s="55"/>
      <c r="G27" s="56">
        <f>$D27*F27</f>
        <v>0</v>
      </c>
    </row>
    <row r="28" spans="1:18">
      <c r="A28" s="109"/>
      <c r="B28" s="57"/>
      <c r="C28" s="41"/>
      <c r="F28" s="58"/>
      <c r="R28" s="183"/>
    </row>
    <row r="29" spans="1:18" s="77" customFormat="1" ht="58.5" customHeight="1">
      <c r="A29" s="13" t="s">
        <v>212</v>
      </c>
      <c r="B29" s="60" t="s">
        <v>84</v>
      </c>
      <c r="C29" s="53"/>
      <c r="D29" s="61"/>
      <c r="E29" s="87"/>
      <c r="F29" s="62"/>
      <c r="G29" s="56"/>
    </row>
    <row r="30" spans="1:18" s="77" customFormat="1">
      <c r="A30" s="99"/>
      <c r="B30" s="180" t="s">
        <v>85</v>
      </c>
      <c r="C30" s="53" t="s">
        <v>22</v>
      </c>
      <c r="D30" s="54">
        <v>711.92</v>
      </c>
      <c r="E30" s="87"/>
      <c r="F30" s="55"/>
      <c r="G30" s="56">
        <f>$D30*F30</f>
        <v>0</v>
      </c>
    </row>
    <row r="31" spans="1:18">
      <c r="A31" s="109"/>
      <c r="B31" s="57"/>
      <c r="C31" s="41"/>
      <c r="F31" s="58"/>
    </row>
    <row r="32" spans="1:18" s="77" customFormat="1">
      <c r="A32" s="84"/>
      <c r="B32" s="85"/>
      <c r="C32" s="81"/>
      <c r="D32" s="82"/>
      <c r="E32" s="76"/>
      <c r="F32" s="83"/>
      <c r="G32" s="80"/>
    </row>
    <row r="33" spans="1:7" s="92" customFormat="1">
      <c r="A33" s="68"/>
      <c r="B33" s="69" t="s">
        <v>413</v>
      </c>
      <c r="C33" s="70"/>
      <c r="D33" s="89"/>
      <c r="E33" s="90"/>
      <c r="F33" s="71"/>
      <c r="G33" s="91"/>
    </row>
    <row r="34" spans="1:7" s="92" customFormat="1">
      <c r="A34" s="66"/>
      <c r="B34" s="67" t="s">
        <v>15</v>
      </c>
      <c r="C34" s="206"/>
      <c r="D34" s="93"/>
      <c r="E34" s="87"/>
      <c r="F34" s="65"/>
      <c r="G34" s="72">
        <f>SUM(G19:G33)</f>
        <v>0</v>
      </c>
    </row>
    <row r="35" spans="1:7" s="92" customFormat="1">
      <c r="A35" s="277"/>
      <c r="B35" s="278"/>
      <c r="C35" s="279"/>
      <c r="D35" s="91"/>
      <c r="E35" s="90"/>
      <c r="F35" s="280"/>
      <c r="G35" s="91"/>
    </row>
    <row r="54" spans="12:14">
      <c r="L54" s="88"/>
    </row>
    <row r="60" spans="12:14">
      <c r="L60" s="88"/>
      <c r="M60" s="88"/>
      <c r="N60" s="88"/>
    </row>
  </sheetData>
  <mergeCells count="8">
    <mergeCell ref="F4:G4"/>
    <mergeCell ref="A14:F14"/>
    <mergeCell ref="A8:G8"/>
    <mergeCell ref="A9:F9"/>
    <mergeCell ref="A10:F10"/>
    <mergeCell ref="A11:F11"/>
    <mergeCell ref="A12:F12"/>
    <mergeCell ref="A13:F13"/>
  </mergeCells>
  <pageMargins left="0.59055118110236227" right="0.19685039370078741" top="0.59055118110236227" bottom="0.59055118110236227" header="0.19685039370078741" footer="0.19685039370078741"/>
  <pageSetup paperSize="9" scale="91"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249977111117893"/>
    <pageSetUpPr fitToPage="1"/>
  </sheetPr>
  <dimension ref="A1:L40"/>
  <sheetViews>
    <sheetView showZeros="0" view="pageBreakPreview" topLeftCell="A16" zoomScaleNormal="100" zoomScaleSheetLayoutView="100" workbookViewId="0">
      <selection activeCell="L26" sqref="L26"/>
    </sheetView>
  </sheetViews>
  <sheetFormatPr defaultRowHeight="15"/>
  <cols>
    <col min="1" max="1" width="5.7109375" style="59" customWidth="1"/>
    <col min="2" max="2" width="45.7109375" style="73" customWidth="1"/>
    <col min="3" max="3" width="6.7109375" style="74" customWidth="1"/>
    <col min="4" max="4" width="10.7109375" style="15" customWidth="1"/>
    <col min="5" max="5" width="2.7109375" style="11" customWidth="1"/>
    <col min="6" max="6" width="15.7109375" style="75" customWidth="1"/>
    <col min="7" max="7" width="15.7109375" style="15" customWidth="1"/>
  </cols>
  <sheetData>
    <row r="1" spans="1:8" s="4" customFormat="1" ht="18">
      <c r="A1" s="273"/>
      <c r="B1" s="274"/>
      <c r="C1" s="274"/>
      <c r="D1" s="274"/>
      <c r="E1" s="274"/>
      <c r="F1" s="274"/>
      <c r="G1" s="275"/>
    </row>
    <row r="2" spans="1:8" s="8" customFormat="1" ht="18">
      <c r="A2" s="5"/>
      <c r="B2" s="6" t="s">
        <v>0</v>
      </c>
      <c r="C2" s="6"/>
      <c r="D2" s="6"/>
      <c r="E2" s="6"/>
      <c r="F2" s="6"/>
      <c r="G2" s="7"/>
    </row>
    <row r="3" spans="1:8" s="4" customFormat="1" ht="18">
      <c r="A3" s="1"/>
      <c r="B3" s="2"/>
      <c r="C3" s="2"/>
      <c r="D3" s="2"/>
      <c r="E3" s="2"/>
      <c r="F3" s="2"/>
      <c r="G3" s="3"/>
    </row>
    <row r="4" spans="1:8" s="12" customFormat="1" ht="60" customHeight="1">
      <c r="A4" s="222"/>
      <c r="B4" s="9" t="s">
        <v>414</v>
      </c>
      <c r="C4" s="10"/>
      <c r="D4" s="223"/>
      <c r="E4" s="11"/>
      <c r="F4" s="969" t="s">
        <v>367</v>
      </c>
      <c r="G4" s="970"/>
    </row>
    <row r="5" spans="1:8" s="12" customFormat="1">
      <c r="A5" s="13"/>
      <c r="B5" s="14"/>
      <c r="C5" s="14"/>
      <c r="D5" s="15"/>
      <c r="E5" s="11"/>
      <c r="G5" s="15"/>
    </row>
    <row r="6" spans="1:8" s="12" customFormat="1">
      <c r="A6" s="16" t="s">
        <v>2</v>
      </c>
      <c r="B6" s="17" t="s">
        <v>3</v>
      </c>
      <c r="C6" s="18" t="s">
        <v>4</v>
      </c>
      <c r="D6" s="19" t="s">
        <v>6</v>
      </c>
      <c r="E6" s="20"/>
      <c r="F6" s="19" t="s">
        <v>5</v>
      </c>
      <c r="G6" s="19" t="s">
        <v>7</v>
      </c>
    </row>
    <row r="7" spans="1:8">
      <c r="A7" s="22"/>
      <c r="B7" s="23"/>
      <c r="C7" s="24"/>
      <c r="D7" s="25"/>
      <c r="E7" s="26"/>
      <c r="F7" s="26"/>
      <c r="G7" s="27"/>
    </row>
    <row r="8" spans="1:8" s="29" customFormat="1">
      <c r="A8" s="971" t="s">
        <v>8</v>
      </c>
      <c r="B8" s="972"/>
      <c r="C8" s="972"/>
      <c r="D8" s="972"/>
      <c r="E8" s="972"/>
      <c r="F8" s="972"/>
      <c r="G8" s="973"/>
      <c r="H8" s="28"/>
    </row>
    <row r="9" spans="1:8">
      <c r="A9" s="965"/>
      <c r="B9" s="966"/>
      <c r="C9" s="966"/>
      <c r="D9" s="966"/>
      <c r="E9" s="966"/>
      <c r="F9" s="966"/>
      <c r="G9" s="27"/>
    </row>
    <row r="10" spans="1:8" ht="144" customHeight="1">
      <c r="A10" s="967" t="s">
        <v>175</v>
      </c>
      <c r="B10" s="976"/>
      <c r="C10" s="976"/>
      <c r="D10" s="976"/>
      <c r="E10" s="976"/>
      <c r="F10" s="976"/>
      <c r="G10" s="27"/>
    </row>
    <row r="11" spans="1:8" ht="169.5" customHeight="1">
      <c r="A11" s="967" t="s">
        <v>59</v>
      </c>
      <c r="B11" s="976"/>
      <c r="C11" s="976"/>
      <c r="D11" s="976"/>
      <c r="E11" s="976"/>
      <c r="F11" s="976"/>
      <c r="G11" s="27"/>
    </row>
    <row r="12" spans="1:8" ht="99" customHeight="1">
      <c r="A12" s="967" t="s">
        <v>176</v>
      </c>
      <c r="B12" s="976"/>
      <c r="C12" s="976"/>
      <c r="D12" s="976"/>
      <c r="E12" s="976"/>
      <c r="F12" s="976"/>
      <c r="G12" s="27"/>
    </row>
    <row r="13" spans="1:8">
      <c r="A13" s="965"/>
      <c r="B13" s="966"/>
      <c r="C13" s="966"/>
      <c r="D13" s="966"/>
      <c r="E13" s="966"/>
      <c r="F13" s="966"/>
      <c r="G13" s="27"/>
    </row>
    <row r="14" spans="1:8">
      <c r="A14" s="965"/>
      <c r="B14" s="966"/>
      <c r="C14" s="966"/>
      <c r="D14" s="966"/>
      <c r="E14" s="966"/>
      <c r="F14" s="966"/>
      <c r="G14" s="27"/>
    </row>
    <row r="15" spans="1:8">
      <c r="A15" s="224"/>
      <c r="B15" s="225"/>
      <c r="C15" s="31"/>
      <c r="D15" s="32"/>
      <c r="E15" s="30"/>
      <c r="F15" s="30"/>
      <c r="G15" s="33"/>
    </row>
    <row r="16" spans="1:8">
      <c r="A16" s="224"/>
      <c r="B16" s="225"/>
      <c r="C16" s="31"/>
      <c r="D16" s="32"/>
      <c r="E16" s="30"/>
      <c r="F16" s="30"/>
      <c r="G16" s="33"/>
    </row>
    <row r="17" spans="1:12">
      <c r="A17" s="34"/>
      <c r="B17" s="35"/>
      <c r="C17" s="36"/>
      <c r="D17" s="36"/>
      <c r="E17" s="37"/>
      <c r="F17" s="36"/>
      <c r="G17" s="38"/>
    </row>
    <row r="18" spans="1:12">
      <c r="A18" s="39"/>
      <c r="B18" s="40"/>
      <c r="C18" s="41"/>
      <c r="D18" s="42"/>
      <c r="F18" s="43"/>
      <c r="G18" s="42"/>
    </row>
    <row r="19" spans="1:12">
      <c r="A19" s="44"/>
      <c r="B19" s="45"/>
      <c r="C19" s="46"/>
      <c r="D19" s="47"/>
      <c r="E19" s="48"/>
      <c r="F19" s="49"/>
      <c r="G19" s="50"/>
    </row>
    <row r="20" spans="1:12" ht="153">
      <c r="A20" s="13" t="s">
        <v>71</v>
      </c>
      <c r="B20" s="60" t="s">
        <v>540</v>
      </c>
      <c r="C20" s="53"/>
      <c r="D20" s="61"/>
      <c r="F20" s="62"/>
      <c r="G20" s="56"/>
    </row>
    <row r="21" spans="1:12">
      <c r="A21" s="108"/>
      <c r="B21" s="52" t="s">
        <v>60</v>
      </c>
      <c r="C21" s="53"/>
      <c r="D21" s="198"/>
      <c r="F21" s="62"/>
      <c r="G21" s="56"/>
      <c r="H21" s="88"/>
      <c r="I21" s="88"/>
      <c r="J21" s="88"/>
      <c r="K21" s="88"/>
      <c r="L21" s="88"/>
    </row>
    <row r="22" spans="1:12">
      <c r="A22" s="108"/>
      <c r="B22" s="52" t="s">
        <v>61</v>
      </c>
      <c r="C22" s="53"/>
      <c r="D22" s="198"/>
      <c r="F22" s="62"/>
      <c r="G22" s="56"/>
      <c r="H22" s="88"/>
      <c r="I22" s="88"/>
      <c r="J22" s="88"/>
      <c r="K22" s="88"/>
      <c r="L22" s="88"/>
    </row>
    <row r="23" spans="1:12">
      <c r="A23" s="108"/>
      <c r="B23" s="52" t="s">
        <v>536</v>
      </c>
      <c r="C23" s="53"/>
      <c r="D23" s="198"/>
      <c r="F23" s="62"/>
      <c r="G23" s="56"/>
      <c r="H23" s="88"/>
      <c r="I23" s="88"/>
      <c r="J23" s="88"/>
      <c r="K23" s="88"/>
      <c r="L23" s="88"/>
    </row>
    <row r="24" spans="1:12">
      <c r="A24" s="108"/>
      <c r="B24" s="110" t="s">
        <v>537</v>
      </c>
      <c r="C24" s="53" t="s">
        <v>10</v>
      </c>
      <c r="D24" s="54">
        <v>773</v>
      </c>
      <c r="F24" s="55"/>
      <c r="G24" s="56">
        <f>$D24*F24</f>
        <v>0</v>
      </c>
      <c r="H24" s="88"/>
      <c r="I24" s="88"/>
      <c r="J24" s="88"/>
      <c r="K24" s="88"/>
      <c r="L24" s="88"/>
    </row>
    <row r="25" spans="1:12">
      <c r="A25" s="109"/>
      <c r="B25" s="57"/>
      <c r="C25" s="41"/>
      <c r="F25" s="58"/>
    </row>
    <row r="26" spans="1:12" s="77" customFormat="1" ht="171.75" customHeight="1">
      <c r="A26" s="86" t="s">
        <v>216</v>
      </c>
      <c r="B26" s="60" t="s">
        <v>539</v>
      </c>
      <c r="C26" s="53"/>
      <c r="D26" s="61"/>
      <c r="E26" s="87"/>
      <c r="F26" s="62"/>
      <c r="G26" s="56"/>
    </row>
    <row r="27" spans="1:12">
      <c r="A27" s="108"/>
      <c r="B27" s="52" t="s">
        <v>61</v>
      </c>
      <c r="C27" s="53"/>
      <c r="D27" s="198"/>
      <c r="F27" s="62"/>
      <c r="G27" s="56"/>
      <c r="H27" s="88"/>
      <c r="I27" s="88"/>
      <c r="J27" s="88"/>
      <c r="K27" s="88"/>
      <c r="L27" s="88"/>
    </row>
    <row r="28" spans="1:12">
      <c r="A28" s="108"/>
      <c r="B28" s="52" t="s">
        <v>536</v>
      </c>
      <c r="C28" s="53"/>
      <c r="D28" s="198"/>
      <c r="F28" s="62"/>
      <c r="G28" s="56"/>
      <c r="H28" s="88"/>
      <c r="I28" s="88"/>
      <c r="J28" s="88"/>
      <c r="K28" s="88"/>
      <c r="L28" s="88"/>
    </row>
    <row r="29" spans="1:12">
      <c r="A29" s="108"/>
      <c r="B29" s="110" t="s">
        <v>538</v>
      </c>
      <c r="C29" s="53" t="s">
        <v>10</v>
      </c>
      <c r="D29" s="54">
        <f>236.03</f>
        <v>236.03</v>
      </c>
      <c r="F29" s="55"/>
      <c r="G29" s="56">
        <f>$D29*F29</f>
        <v>0</v>
      </c>
      <c r="H29" s="88"/>
      <c r="I29" s="88"/>
      <c r="J29" s="88"/>
      <c r="K29" s="88"/>
      <c r="L29" s="88"/>
    </row>
    <row r="30" spans="1:12" s="186" customFormat="1">
      <c r="A30" s="109"/>
      <c r="B30" s="57"/>
      <c r="C30" s="41"/>
      <c r="D30" s="15"/>
      <c r="E30" s="11"/>
      <c r="F30" s="58"/>
      <c r="G30" s="15"/>
    </row>
    <row r="31" spans="1:12" s="77" customFormat="1" ht="93.75" customHeight="1">
      <c r="A31" s="86" t="s">
        <v>217</v>
      </c>
      <c r="B31" s="60" t="s">
        <v>409</v>
      </c>
      <c r="C31" s="53"/>
      <c r="D31" s="61"/>
      <c r="E31" s="87"/>
      <c r="F31" s="62"/>
      <c r="G31" s="56"/>
    </row>
    <row r="32" spans="1:12" s="186" customFormat="1">
      <c r="A32" s="108" t="s">
        <v>190</v>
      </c>
      <c r="B32" s="110" t="s">
        <v>387</v>
      </c>
      <c r="C32" s="53" t="s">
        <v>10</v>
      </c>
      <c r="D32" s="54">
        <f>(11.11*2.96)+(18.25*2.96)-(4.43+3.88+0.88+8.5+0.88+0.88+8.5)+(24)-(2.23+1.02+1.02)</f>
        <v>78.685600000000008</v>
      </c>
      <c r="E32" s="11"/>
      <c r="F32" s="55"/>
      <c r="G32" s="56">
        <f>$D32*F32</f>
        <v>0</v>
      </c>
      <c r="H32" s="88"/>
      <c r="I32" s="88"/>
      <c r="J32" s="88"/>
      <c r="K32" s="88"/>
      <c r="L32" s="88"/>
    </row>
    <row r="33" spans="1:12" s="186" customFormat="1" ht="15" customHeight="1">
      <c r="A33" s="108" t="s">
        <v>191</v>
      </c>
      <c r="B33" s="110" t="s">
        <v>386</v>
      </c>
      <c r="C33" s="53" t="s">
        <v>10</v>
      </c>
      <c r="D33" s="54">
        <f>0.3+(0.81*2.92)+0.304*2+0.5+1+0.52</f>
        <v>5.2932000000000006</v>
      </c>
      <c r="E33" s="11"/>
      <c r="F33" s="55"/>
      <c r="G33" s="56">
        <f>$D33*F33</f>
        <v>0</v>
      </c>
      <c r="H33" s="88"/>
      <c r="I33" s="88"/>
      <c r="J33" s="88"/>
      <c r="K33" s="88"/>
      <c r="L33" s="88"/>
    </row>
    <row r="34" spans="1:12">
      <c r="A34" s="109"/>
      <c r="B34" s="57"/>
      <c r="C34" s="41"/>
      <c r="F34" s="58"/>
    </row>
    <row r="35" spans="1:12" s="77" customFormat="1" ht="178.5">
      <c r="A35" s="86" t="s">
        <v>218</v>
      </c>
      <c r="B35" s="60" t="s">
        <v>62</v>
      </c>
      <c r="C35" s="53"/>
      <c r="D35" s="61"/>
      <c r="E35" s="87"/>
      <c r="F35" s="62"/>
      <c r="G35" s="56"/>
    </row>
    <row r="36" spans="1:12">
      <c r="A36" s="108"/>
      <c r="B36" s="110" t="s">
        <v>63</v>
      </c>
      <c r="C36" s="53" t="s">
        <v>10</v>
      </c>
      <c r="D36" s="54">
        <v>600</v>
      </c>
      <c r="F36" s="55"/>
      <c r="G36" s="56">
        <f>$D36*F36</f>
        <v>0</v>
      </c>
      <c r="H36" s="88"/>
      <c r="I36" s="88"/>
      <c r="J36" s="88"/>
      <c r="K36" s="88"/>
      <c r="L36" s="88"/>
    </row>
    <row r="37" spans="1:12" s="77" customFormat="1">
      <c r="A37" s="84"/>
      <c r="B37" s="85"/>
      <c r="C37" s="81"/>
      <c r="D37" s="82"/>
      <c r="E37" s="76"/>
      <c r="F37" s="83"/>
      <c r="G37" s="80"/>
    </row>
    <row r="38" spans="1:12" s="92" customFormat="1">
      <c r="A38" s="68"/>
      <c r="B38" s="69" t="s">
        <v>414</v>
      </c>
      <c r="C38" s="70"/>
      <c r="D38" s="89"/>
      <c r="E38" s="90"/>
      <c r="F38" s="71"/>
      <c r="G38" s="91"/>
    </row>
    <row r="39" spans="1:12" s="92" customFormat="1">
      <c r="A39" s="66"/>
      <c r="B39" s="67" t="s">
        <v>15</v>
      </c>
      <c r="C39" s="206"/>
      <c r="D39" s="93"/>
      <c r="E39" s="87"/>
      <c r="F39" s="65"/>
      <c r="G39" s="72">
        <f>SUM(G19:G38)</f>
        <v>0</v>
      </c>
    </row>
    <row r="40" spans="1:12" s="92" customFormat="1">
      <c r="A40" s="277"/>
      <c r="B40" s="278"/>
      <c r="C40" s="279"/>
      <c r="D40" s="91"/>
      <c r="E40" s="90"/>
      <c r="F40" s="280"/>
      <c r="G40" s="91"/>
    </row>
  </sheetData>
  <mergeCells count="8">
    <mergeCell ref="F4:G4"/>
    <mergeCell ref="A14:F14"/>
    <mergeCell ref="A8:G8"/>
    <mergeCell ref="A9:F9"/>
    <mergeCell ref="A10:F10"/>
    <mergeCell ref="A11:F11"/>
    <mergeCell ref="A12:F12"/>
    <mergeCell ref="A13:F13"/>
  </mergeCells>
  <pageMargins left="0.59055118110236227" right="0.19685039370078741" top="0.59055118110236227" bottom="0.59055118110236227" header="0.19685039370078741" footer="0.19685039370078741"/>
  <pageSetup paperSize="9" scale="91" fitToHeight="0" orientation="portrait" r:id="rId1"/>
  <ignoredErrors>
    <ignoredError sqref="D32:D33 D29"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499984740745262"/>
    <pageSetUpPr fitToPage="1"/>
  </sheetPr>
  <dimension ref="A1:L38"/>
  <sheetViews>
    <sheetView showZeros="0" view="pageBreakPreview" topLeftCell="A20" zoomScaleNormal="100" zoomScaleSheetLayoutView="100" workbookViewId="0">
      <selection activeCell="F20" sqref="F20:F34"/>
    </sheetView>
  </sheetViews>
  <sheetFormatPr defaultRowHeight="15"/>
  <cols>
    <col min="1" max="1" width="5.7109375" style="59" customWidth="1"/>
    <col min="2" max="2" width="45.7109375" style="73" customWidth="1"/>
    <col min="3" max="3" width="6.7109375" style="74" customWidth="1"/>
    <col min="4" max="4" width="10.7109375" style="15" customWidth="1"/>
    <col min="5" max="5" width="2.7109375" style="11" customWidth="1"/>
    <col min="6" max="6" width="15.7109375" style="75" customWidth="1"/>
    <col min="7" max="7" width="15.7109375" style="15" customWidth="1"/>
  </cols>
  <sheetData>
    <row r="1" spans="1:8" s="4" customFormat="1" ht="18">
      <c r="A1" s="273"/>
      <c r="B1" s="274"/>
      <c r="C1" s="274"/>
      <c r="D1" s="274"/>
      <c r="E1" s="274"/>
      <c r="F1" s="274"/>
      <c r="G1" s="275"/>
    </row>
    <row r="2" spans="1:8" s="8" customFormat="1" ht="18">
      <c r="A2" s="5"/>
      <c r="B2" s="6" t="s">
        <v>0</v>
      </c>
      <c r="C2" s="6"/>
      <c r="D2" s="6"/>
      <c r="E2" s="6"/>
      <c r="F2" s="6"/>
      <c r="G2" s="7"/>
    </row>
    <row r="3" spans="1:8" s="4" customFormat="1" ht="18">
      <c r="A3" s="1"/>
      <c r="B3" s="2"/>
      <c r="C3" s="2"/>
      <c r="D3" s="2"/>
      <c r="E3" s="2"/>
      <c r="F3" s="2"/>
      <c r="G3" s="3"/>
    </row>
    <row r="4" spans="1:8" s="12" customFormat="1" ht="60" customHeight="1">
      <c r="A4" s="222"/>
      <c r="B4" s="9" t="s">
        <v>415</v>
      </c>
      <c r="C4" s="10"/>
      <c r="D4" s="223"/>
      <c r="E4" s="11"/>
      <c r="F4" s="969" t="s">
        <v>367</v>
      </c>
      <c r="G4" s="970"/>
    </row>
    <row r="5" spans="1:8" s="12" customFormat="1">
      <c r="A5" s="13"/>
      <c r="B5" s="14"/>
      <c r="C5" s="14"/>
      <c r="D5" s="15"/>
      <c r="E5" s="11"/>
      <c r="G5" s="15"/>
    </row>
    <row r="6" spans="1:8" s="12" customFormat="1">
      <c r="A6" s="16" t="s">
        <v>2</v>
      </c>
      <c r="B6" s="17" t="s">
        <v>3</v>
      </c>
      <c r="C6" s="18" t="s">
        <v>4</v>
      </c>
      <c r="D6" s="19" t="s">
        <v>6</v>
      </c>
      <c r="E6" s="20"/>
      <c r="F6" s="19" t="s">
        <v>5</v>
      </c>
      <c r="G6" s="19" t="s">
        <v>7</v>
      </c>
    </row>
    <row r="7" spans="1:8">
      <c r="A7" s="22"/>
      <c r="B7" s="23"/>
      <c r="C7" s="24"/>
      <c r="D7" s="25"/>
      <c r="E7" s="26"/>
      <c r="F7" s="26"/>
      <c r="G7" s="27"/>
    </row>
    <row r="8" spans="1:8" s="29" customFormat="1">
      <c r="A8" s="971" t="s">
        <v>8</v>
      </c>
      <c r="B8" s="972"/>
      <c r="C8" s="972"/>
      <c r="D8" s="972"/>
      <c r="E8" s="972"/>
      <c r="F8" s="972"/>
      <c r="G8" s="973"/>
      <c r="H8" s="28"/>
    </row>
    <row r="9" spans="1:8">
      <c r="A9" s="965"/>
      <c r="B9" s="966"/>
      <c r="C9" s="966"/>
      <c r="D9" s="966"/>
      <c r="E9" s="966"/>
      <c r="F9" s="966"/>
      <c r="G9" s="27"/>
    </row>
    <row r="10" spans="1:8" ht="168" customHeight="1">
      <c r="A10" s="967" t="s">
        <v>177</v>
      </c>
      <c r="B10" s="976"/>
      <c r="C10" s="976"/>
      <c r="D10" s="976"/>
      <c r="E10" s="976"/>
      <c r="F10" s="976"/>
      <c r="G10" s="27"/>
    </row>
    <row r="11" spans="1:8" ht="84" customHeight="1">
      <c r="A11" s="967" t="s">
        <v>86</v>
      </c>
      <c r="B11" s="976"/>
      <c r="C11" s="976"/>
      <c r="D11" s="976"/>
      <c r="E11" s="976"/>
      <c r="F11" s="976"/>
      <c r="G11" s="27"/>
    </row>
    <row r="12" spans="1:8" ht="53.25" customHeight="1">
      <c r="A12" s="967" t="s">
        <v>76</v>
      </c>
      <c r="B12" s="976"/>
      <c r="C12" s="976"/>
      <c r="D12" s="976"/>
      <c r="E12" s="976"/>
      <c r="F12" s="976"/>
      <c r="G12" s="27"/>
    </row>
    <row r="13" spans="1:8">
      <c r="A13" s="965"/>
      <c r="B13" s="966"/>
      <c r="C13" s="966"/>
      <c r="D13" s="966"/>
      <c r="E13" s="966"/>
      <c r="F13" s="966"/>
      <c r="G13" s="27"/>
    </row>
    <row r="14" spans="1:8">
      <c r="A14" s="224"/>
      <c r="B14" s="225"/>
      <c r="C14" s="31"/>
      <c r="D14" s="32"/>
      <c r="E14" s="30"/>
      <c r="F14" s="30"/>
      <c r="G14" s="33"/>
    </row>
    <row r="15" spans="1:8">
      <c r="A15" s="224"/>
      <c r="B15" s="225"/>
      <c r="C15" s="31"/>
      <c r="D15" s="32"/>
      <c r="E15" s="30"/>
      <c r="F15" s="30"/>
      <c r="G15" s="33"/>
    </row>
    <row r="16" spans="1:8">
      <c r="A16" s="34"/>
      <c r="B16" s="35"/>
      <c r="C16" s="36"/>
      <c r="D16" s="36"/>
      <c r="E16" s="37"/>
      <c r="F16" s="36"/>
      <c r="G16" s="38"/>
    </row>
    <row r="17" spans="1:12">
      <c r="A17" s="39"/>
      <c r="B17" s="40"/>
      <c r="C17" s="41"/>
      <c r="D17" s="42"/>
      <c r="F17" s="43"/>
      <c r="G17" s="42"/>
    </row>
    <row r="18" spans="1:12">
      <c r="A18" s="44"/>
      <c r="B18" s="45"/>
      <c r="C18" s="46"/>
      <c r="D18" s="47"/>
      <c r="E18" s="48"/>
      <c r="F18" s="49"/>
      <c r="G18" s="50"/>
    </row>
    <row r="19" spans="1:12" ht="56.25" customHeight="1">
      <c r="A19" s="13" t="s">
        <v>213</v>
      </c>
      <c r="B19" s="60" t="s">
        <v>88</v>
      </c>
      <c r="C19" s="53"/>
      <c r="D19" s="61"/>
      <c r="F19" s="62"/>
      <c r="G19" s="56"/>
    </row>
    <row r="20" spans="1:12">
      <c r="A20" s="108"/>
      <c r="B20" s="52" t="s">
        <v>87</v>
      </c>
      <c r="C20" s="53" t="s">
        <v>56</v>
      </c>
      <c r="D20" s="349">
        <f>12.45+31.58+24.24+10.86+17.19+72.7+25.6+68.78</f>
        <v>263.39999999999998</v>
      </c>
      <c r="F20" s="55"/>
      <c r="G20" s="56">
        <f>$D20*F20</f>
        <v>0</v>
      </c>
      <c r="H20" s="88"/>
      <c r="I20" s="88"/>
      <c r="J20" s="88"/>
      <c r="K20" s="88"/>
      <c r="L20" s="88"/>
    </row>
    <row r="21" spans="1:12">
      <c r="A21" s="109"/>
      <c r="B21" s="57"/>
      <c r="C21" s="41"/>
      <c r="F21" s="58"/>
    </row>
    <row r="22" spans="1:12" s="77" customFormat="1" ht="54.75" customHeight="1">
      <c r="A22" s="86" t="s">
        <v>214</v>
      </c>
      <c r="B22" s="60" t="s">
        <v>420</v>
      </c>
      <c r="C22" s="53"/>
      <c r="D22" s="61"/>
      <c r="E22" s="87"/>
      <c r="F22" s="62"/>
      <c r="G22" s="56"/>
    </row>
    <row r="23" spans="1:12" s="77" customFormat="1">
      <c r="A23" s="99"/>
      <c r="B23" s="64" t="s">
        <v>388</v>
      </c>
      <c r="C23" s="53" t="s">
        <v>38</v>
      </c>
      <c r="D23" s="349">
        <v>25.25</v>
      </c>
      <c r="E23" s="87"/>
      <c r="F23" s="55"/>
      <c r="G23" s="56">
        <f>$D23*F23</f>
        <v>0</v>
      </c>
    </row>
    <row r="24" spans="1:12" s="186" customFormat="1">
      <c r="A24" s="109"/>
      <c r="B24" s="57"/>
      <c r="C24" s="41"/>
      <c r="D24" s="15"/>
      <c r="E24" s="11"/>
      <c r="F24" s="58"/>
      <c r="G24" s="15"/>
    </row>
    <row r="25" spans="1:12" s="77" customFormat="1" ht="51">
      <c r="A25" s="86" t="s">
        <v>215</v>
      </c>
      <c r="B25" s="60" t="s">
        <v>391</v>
      </c>
      <c r="C25" s="53"/>
      <c r="D25" s="61"/>
      <c r="E25" s="87"/>
      <c r="F25" s="62"/>
      <c r="G25" s="56"/>
    </row>
    <row r="26" spans="1:12" s="77" customFormat="1">
      <c r="A26" s="86"/>
      <c r="B26" s="64" t="s">
        <v>390</v>
      </c>
      <c r="C26" s="53" t="s">
        <v>38</v>
      </c>
      <c r="D26" s="349">
        <f>4.5+4.5+4.5+4.5+4.5</f>
        <v>22.5</v>
      </c>
      <c r="E26" s="87"/>
      <c r="F26" s="55"/>
      <c r="G26" s="56">
        <f>F26*D26</f>
        <v>0</v>
      </c>
    </row>
    <row r="27" spans="1:12" s="77" customFormat="1">
      <c r="A27" s="99"/>
      <c r="B27" s="64" t="s">
        <v>389</v>
      </c>
      <c r="C27" s="53" t="s">
        <v>38</v>
      </c>
      <c r="D27" s="349">
        <f>4.8+3.15</f>
        <v>7.9499999999999993</v>
      </c>
      <c r="E27" s="87"/>
      <c r="F27" s="55"/>
      <c r="G27" s="56">
        <f>$D27*F27</f>
        <v>0</v>
      </c>
    </row>
    <row r="28" spans="1:12" s="77" customFormat="1">
      <c r="A28" s="99"/>
      <c r="B28" s="64" t="s">
        <v>123</v>
      </c>
      <c r="C28" s="53" t="s">
        <v>38</v>
      </c>
      <c r="D28" s="349">
        <v>4.5999999999999996</v>
      </c>
      <c r="E28" s="87"/>
      <c r="F28" s="55"/>
      <c r="G28" s="56">
        <f>F28*D28</f>
        <v>0</v>
      </c>
    </row>
    <row r="29" spans="1:12" s="186" customFormat="1">
      <c r="A29" s="109"/>
      <c r="B29" s="57"/>
      <c r="C29" s="41"/>
      <c r="D29" s="15"/>
      <c r="E29" s="11"/>
      <c r="F29" s="58"/>
      <c r="G29" s="15"/>
    </row>
    <row r="30" spans="1:12" s="77" customFormat="1" ht="51">
      <c r="A30" s="86" t="s">
        <v>416</v>
      </c>
      <c r="B30" s="60" t="s">
        <v>125</v>
      </c>
      <c r="C30" s="53"/>
      <c r="D30" s="61"/>
      <c r="E30" s="87"/>
      <c r="F30" s="62"/>
      <c r="G30" s="56"/>
    </row>
    <row r="31" spans="1:12" s="77" customFormat="1">
      <c r="A31" s="99"/>
      <c r="B31" s="64" t="s">
        <v>124</v>
      </c>
      <c r="C31" s="53" t="s">
        <v>42</v>
      </c>
      <c r="D31" s="349">
        <v>3</v>
      </c>
      <c r="E31" s="87"/>
      <c r="F31" s="55"/>
      <c r="G31" s="56">
        <f>$D31*F31</f>
        <v>0</v>
      </c>
    </row>
    <row r="32" spans="1:12" s="186" customFormat="1">
      <c r="A32" s="109"/>
      <c r="B32" s="57"/>
      <c r="C32" s="41"/>
      <c r="D32" s="15"/>
      <c r="E32" s="11"/>
      <c r="F32" s="58"/>
      <c r="G32" s="15"/>
    </row>
    <row r="33" spans="1:7" s="77" customFormat="1" ht="105" customHeight="1">
      <c r="A33" s="86" t="s">
        <v>417</v>
      </c>
      <c r="B33" s="60" t="s">
        <v>249</v>
      </c>
      <c r="C33" s="53"/>
      <c r="D33" s="61"/>
      <c r="E33" s="87"/>
      <c r="F33" s="62"/>
      <c r="G33" s="56"/>
    </row>
    <row r="34" spans="1:7" s="77" customFormat="1">
      <c r="A34" s="99"/>
      <c r="B34" s="64" t="s">
        <v>126</v>
      </c>
      <c r="C34" s="53" t="s">
        <v>42</v>
      </c>
      <c r="D34" s="349">
        <v>4</v>
      </c>
      <c r="E34" s="87"/>
      <c r="F34" s="55"/>
      <c r="G34" s="56">
        <f>$D34*F34</f>
        <v>0</v>
      </c>
    </row>
    <row r="35" spans="1:7" s="77" customFormat="1">
      <c r="A35" s="84"/>
      <c r="B35" s="85"/>
      <c r="C35" s="81"/>
      <c r="D35" s="82"/>
      <c r="E35" s="76"/>
      <c r="F35" s="83"/>
      <c r="G35" s="80"/>
    </row>
    <row r="36" spans="1:7" s="92" customFormat="1">
      <c r="A36" s="68"/>
      <c r="B36" s="69" t="s">
        <v>415</v>
      </c>
      <c r="C36" s="70"/>
      <c r="D36" s="89"/>
      <c r="E36" s="90"/>
      <c r="F36" s="71"/>
      <c r="G36" s="91"/>
    </row>
    <row r="37" spans="1:7" s="92" customFormat="1">
      <c r="A37" s="66"/>
      <c r="B37" s="67" t="s">
        <v>15</v>
      </c>
      <c r="C37" s="206"/>
      <c r="D37" s="93"/>
      <c r="E37" s="87"/>
      <c r="F37" s="65"/>
      <c r="G37" s="72">
        <f>SUM(G18:G36)</f>
        <v>0</v>
      </c>
    </row>
    <row r="38" spans="1:7" s="92" customFormat="1">
      <c r="A38" s="277"/>
      <c r="B38" s="278"/>
      <c r="C38" s="279"/>
      <c r="D38" s="91"/>
      <c r="E38" s="90"/>
      <c r="F38" s="280"/>
      <c r="G38" s="91"/>
    </row>
  </sheetData>
  <mergeCells count="7">
    <mergeCell ref="A12:F12"/>
    <mergeCell ref="A13:F13"/>
    <mergeCell ref="F4:G4"/>
    <mergeCell ref="A8:G8"/>
    <mergeCell ref="A9:F9"/>
    <mergeCell ref="A10:F10"/>
    <mergeCell ref="A11:F11"/>
  </mergeCells>
  <pageMargins left="0.59055118110236227" right="0.19685039370078741" top="0.59055118110236227" bottom="0.59055118110236227" header="0.19685039370078741" footer="0.19685039370078741"/>
  <pageSetup paperSize="9" scale="91" fitToHeight="0" orientation="portrait" r:id="rId1"/>
  <ignoredErrors>
    <ignoredError sqref="D20 D26:D27"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tint="0.59999389629810485"/>
    <pageSetUpPr fitToPage="1"/>
  </sheetPr>
  <dimension ref="A1:H22"/>
  <sheetViews>
    <sheetView showZeros="0" view="pageBreakPreview" topLeftCell="A10" zoomScaleNormal="100" zoomScaleSheetLayoutView="100" workbookViewId="0">
      <selection activeCell="B17" sqref="B17"/>
    </sheetView>
  </sheetViews>
  <sheetFormatPr defaultRowHeight="15"/>
  <cols>
    <col min="1" max="1" width="5.7109375" style="59" customWidth="1"/>
    <col min="2" max="2" width="45.7109375" style="73" customWidth="1"/>
    <col min="3" max="3" width="6.7109375" style="74" customWidth="1"/>
    <col min="4" max="4" width="10.7109375" style="15" customWidth="1"/>
    <col min="5" max="5" width="2.7109375" style="11" customWidth="1"/>
    <col min="6" max="6" width="15.7109375" style="75" customWidth="1"/>
    <col min="7" max="7" width="15.7109375" style="15" customWidth="1"/>
  </cols>
  <sheetData>
    <row r="1" spans="1:8" s="4" customFormat="1" ht="18">
      <c r="A1" s="273"/>
      <c r="B1" s="274"/>
      <c r="C1" s="274"/>
      <c r="D1" s="274"/>
      <c r="E1" s="274"/>
      <c r="F1" s="274"/>
      <c r="G1" s="275"/>
    </row>
    <row r="2" spans="1:8" s="8" customFormat="1" ht="18">
      <c r="A2" s="5"/>
      <c r="B2" s="6" t="s">
        <v>0</v>
      </c>
      <c r="C2" s="6"/>
      <c r="D2" s="6"/>
      <c r="E2" s="6"/>
      <c r="F2" s="6"/>
      <c r="G2" s="7"/>
    </row>
    <row r="3" spans="1:8" s="4" customFormat="1" ht="18">
      <c r="A3" s="1"/>
      <c r="B3" s="2"/>
      <c r="C3" s="2"/>
      <c r="D3" s="2"/>
      <c r="E3" s="2"/>
      <c r="F3" s="2"/>
      <c r="G3" s="3"/>
    </row>
    <row r="4" spans="1:8" s="12" customFormat="1" ht="60" customHeight="1">
      <c r="A4" s="236"/>
      <c r="B4" s="9" t="s">
        <v>418</v>
      </c>
      <c r="C4" s="10"/>
      <c r="D4" s="237"/>
      <c r="E4" s="11"/>
      <c r="F4" s="969" t="s">
        <v>367</v>
      </c>
      <c r="G4" s="970"/>
    </row>
    <row r="5" spans="1:8" s="12" customFormat="1">
      <c r="A5" s="13"/>
      <c r="B5" s="14"/>
      <c r="C5" s="14"/>
      <c r="D5" s="15"/>
      <c r="E5" s="11"/>
      <c r="G5" s="15"/>
    </row>
    <row r="6" spans="1:8" s="12" customFormat="1">
      <c r="A6" s="16" t="s">
        <v>2</v>
      </c>
      <c r="B6" s="17" t="s">
        <v>3</v>
      </c>
      <c r="C6" s="18" t="s">
        <v>4</v>
      </c>
      <c r="D6" s="19" t="s">
        <v>6</v>
      </c>
      <c r="E6" s="20"/>
      <c r="F6" s="19" t="s">
        <v>5</v>
      </c>
      <c r="G6" s="19" t="s">
        <v>7</v>
      </c>
    </row>
    <row r="7" spans="1:8">
      <c r="A7" s="22"/>
      <c r="B7" s="23"/>
      <c r="C7" s="24"/>
      <c r="D7" s="25"/>
      <c r="E7" s="26"/>
      <c r="F7" s="26"/>
      <c r="G7" s="27"/>
    </row>
    <row r="8" spans="1:8" s="29" customFormat="1">
      <c r="A8" s="971" t="s">
        <v>8</v>
      </c>
      <c r="B8" s="972"/>
      <c r="C8" s="972"/>
      <c r="D8" s="972"/>
      <c r="E8" s="972"/>
      <c r="F8" s="972"/>
      <c r="G8" s="973"/>
      <c r="H8" s="28"/>
    </row>
    <row r="9" spans="1:8">
      <c r="A9" s="965"/>
      <c r="B9" s="966"/>
      <c r="C9" s="966"/>
      <c r="D9" s="966"/>
      <c r="E9" s="966"/>
      <c r="F9" s="966"/>
      <c r="G9" s="27"/>
    </row>
    <row r="10" spans="1:8" ht="163.5" customHeight="1">
      <c r="A10" s="967" t="s">
        <v>178</v>
      </c>
      <c r="B10" s="976"/>
      <c r="C10" s="976"/>
      <c r="D10" s="976"/>
      <c r="E10" s="976"/>
      <c r="F10" s="976"/>
      <c r="G10" s="27"/>
    </row>
    <row r="11" spans="1:8" ht="78.75" customHeight="1">
      <c r="A11" s="967" t="s">
        <v>179</v>
      </c>
      <c r="B11" s="976"/>
      <c r="C11" s="976"/>
      <c r="D11" s="976"/>
      <c r="E11" s="976"/>
      <c r="F11" s="976"/>
      <c r="G11" s="27"/>
    </row>
    <row r="12" spans="1:8">
      <c r="A12" s="238"/>
      <c r="B12" s="225"/>
      <c r="C12" s="31"/>
      <c r="D12" s="32"/>
      <c r="E12" s="30"/>
      <c r="F12" s="30"/>
      <c r="G12" s="33"/>
    </row>
    <row r="13" spans="1:8">
      <c r="A13" s="238"/>
      <c r="B13" s="225"/>
      <c r="C13" s="31"/>
      <c r="D13" s="32"/>
      <c r="E13" s="30"/>
      <c r="F13" s="30"/>
      <c r="G13" s="33"/>
    </row>
    <row r="14" spans="1:8">
      <c r="A14" s="34"/>
      <c r="B14" s="35"/>
      <c r="C14" s="36"/>
      <c r="D14" s="36"/>
      <c r="E14" s="37"/>
      <c r="F14" s="36"/>
      <c r="G14" s="38"/>
    </row>
    <row r="15" spans="1:8">
      <c r="A15" s="39"/>
      <c r="B15" s="40"/>
      <c r="C15" s="41"/>
      <c r="D15" s="42"/>
      <c r="F15" s="43"/>
      <c r="G15" s="42"/>
    </row>
    <row r="16" spans="1:8">
      <c r="A16" s="109"/>
      <c r="B16" s="57"/>
      <c r="C16" s="41"/>
      <c r="F16" s="58"/>
    </row>
    <row r="17" spans="1:7" s="77" customFormat="1" ht="76.5">
      <c r="A17" s="13" t="s">
        <v>419</v>
      </c>
      <c r="B17" s="60" t="s">
        <v>1559</v>
      </c>
      <c r="C17" s="53"/>
      <c r="D17" s="61"/>
      <c r="E17" s="87"/>
      <c r="F17" s="62"/>
      <c r="G17" s="56"/>
    </row>
    <row r="18" spans="1:7" s="77" customFormat="1">
      <c r="A18" s="99"/>
      <c r="B18" s="64" t="s">
        <v>90</v>
      </c>
      <c r="C18" s="53" t="s">
        <v>38</v>
      </c>
      <c r="D18" s="54">
        <f>2.2+3+3+3+2+1.4+2+2+2.9+5+5+1+1+2.2+2.4</f>
        <v>38.1</v>
      </c>
      <c r="E18" s="87"/>
      <c r="F18" s="55"/>
      <c r="G18" s="56">
        <f>$D18*F18</f>
        <v>0</v>
      </c>
    </row>
    <row r="19" spans="1:7" s="77" customFormat="1">
      <c r="A19" s="84"/>
      <c r="B19" s="85"/>
      <c r="C19" s="81"/>
      <c r="D19" s="82"/>
      <c r="E19" s="76"/>
      <c r="F19" s="83"/>
      <c r="G19" s="80"/>
    </row>
    <row r="20" spans="1:7" s="92" customFormat="1">
      <c r="A20" s="68"/>
      <c r="B20" s="69" t="s">
        <v>418</v>
      </c>
      <c r="C20" s="70"/>
      <c r="D20" s="89"/>
      <c r="E20" s="90"/>
      <c r="F20" s="71"/>
      <c r="G20" s="91"/>
    </row>
    <row r="21" spans="1:7" s="92" customFormat="1">
      <c r="A21" s="66"/>
      <c r="B21" s="67" t="s">
        <v>15</v>
      </c>
      <c r="C21" s="206"/>
      <c r="D21" s="93"/>
      <c r="E21" s="87"/>
      <c r="F21" s="65"/>
      <c r="G21" s="72">
        <f>SUM(G16:G20)</f>
        <v>0</v>
      </c>
    </row>
    <row r="22" spans="1:7" s="92" customFormat="1">
      <c r="A22" s="277"/>
      <c r="B22" s="278"/>
      <c r="C22" s="279"/>
      <c r="D22" s="91"/>
      <c r="E22" s="90"/>
      <c r="F22" s="280"/>
      <c r="G22" s="91"/>
    </row>
  </sheetData>
  <mergeCells count="5">
    <mergeCell ref="F4:G4"/>
    <mergeCell ref="A8:G8"/>
    <mergeCell ref="A9:F9"/>
    <mergeCell ref="A10:F10"/>
    <mergeCell ref="A11:F11"/>
  </mergeCells>
  <pageMargins left="0.59055118110236227" right="0.19685039370078741" top="0.59055118110236227" bottom="0.59055118110236227" header="0.19685039370078741" footer="0.19685039370078741"/>
  <pageSetup paperSize="9" scale="91" fitToHeight="0" orientation="portrait" r:id="rId1"/>
  <ignoredErrors>
    <ignoredError sqref="D18"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3" tint="0.39997558519241921"/>
    <pageSetUpPr fitToPage="1"/>
  </sheetPr>
  <dimension ref="A1:L37"/>
  <sheetViews>
    <sheetView showZeros="0" view="pageBreakPreview" topLeftCell="A20" zoomScaleNormal="100" zoomScaleSheetLayoutView="100" workbookViewId="0">
      <selection activeCell="F20" sqref="F20:F33"/>
    </sheetView>
  </sheetViews>
  <sheetFormatPr defaultRowHeight="15"/>
  <cols>
    <col min="1" max="1" width="5.7109375" style="59" customWidth="1"/>
    <col min="2" max="2" width="45.7109375" style="73" customWidth="1"/>
    <col min="3" max="3" width="6.7109375" style="74" customWidth="1"/>
    <col min="4" max="4" width="10.7109375" style="15" customWidth="1"/>
    <col min="5" max="5" width="2.7109375" style="11" customWidth="1"/>
    <col min="6" max="6" width="15.7109375" style="75" customWidth="1"/>
    <col min="7" max="7" width="15.7109375" style="15" customWidth="1"/>
    <col min="8" max="16384" width="9.140625" style="186"/>
  </cols>
  <sheetData>
    <row r="1" spans="1:8" s="4" customFormat="1" ht="18">
      <c r="A1" s="273"/>
      <c r="B1" s="274"/>
      <c r="C1" s="274"/>
      <c r="D1" s="274"/>
      <c r="E1" s="274"/>
      <c r="F1" s="274"/>
      <c r="G1" s="275"/>
    </row>
    <row r="2" spans="1:8" s="8" customFormat="1" ht="18">
      <c r="A2" s="5"/>
      <c r="B2" s="6" t="s">
        <v>0</v>
      </c>
      <c r="C2" s="6"/>
      <c r="D2" s="6"/>
      <c r="E2" s="6"/>
      <c r="F2" s="6"/>
      <c r="G2" s="7"/>
    </row>
    <row r="3" spans="1:8" s="4" customFormat="1" ht="18">
      <c r="A3" s="1"/>
      <c r="B3" s="2"/>
      <c r="C3" s="2"/>
      <c r="D3" s="2"/>
      <c r="E3" s="2"/>
      <c r="F3" s="2"/>
      <c r="G3" s="3"/>
    </row>
    <row r="4" spans="1:8" s="12" customFormat="1" ht="60" customHeight="1">
      <c r="A4" s="222"/>
      <c r="B4" s="9" t="s">
        <v>219</v>
      </c>
      <c r="C4" s="10"/>
      <c r="D4" s="223"/>
      <c r="E4" s="11"/>
      <c r="F4" s="969" t="s">
        <v>367</v>
      </c>
      <c r="G4" s="970"/>
    </row>
    <row r="5" spans="1:8" s="12" customFormat="1">
      <c r="A5" s="13"/>
      <c r="B5" s="14"/>
      <c r="C5" s="14"/>
      <c r="D5" s="15"/>
      <c r="E5" s="11"/>
      <c r="G5" s="15"/>
    </row>
    <row r="6" spans="1:8" s="12" customFormat="1">
      <c r="A6" s="16" t="s">
        <v>2</v>
      </c>
      <c r="B6" s="17" t="s">
        <v>3</v>
      </c>
      <c r="C6" s="18" t="s">
        <v>4</v>
      </c>
      <c r="D6" s="19" t="s">
        <v>6</v>
      </c>
      <c r="E6" s="20"/>
      <c r="F6" s="19" t="s">
        <v>5</v>
      </c>
      <c r="G6" s="19" t="s">
        <v>7</v>
      </c>
    </row>
    <row r="7" spans="1:8">
      <c r="A7" s="22"/>
      <c r="B7" s="23"/>
      <c r="C7" s="24"/>
      <c r="D7" s="25"/>
      <c r="E7" s="26"/>
      <c r="F7" s="26"/>
      <c r="G7" s="27"/>
    </row>
    <row r="8" spans="1:8" s="29" customFormat="1" ht="15" customHeight="1">
      <c r="A8" s="971" t="s">
        <v>8</v>
      </c>
      <c r="B8" s="972"/>
      <c r="C8" s="972"/>
      <c r="D8" s="972"/>
      <c r="E8" s="972"/>
      <c r="F8" s="972"/>
      <c r="G8" s="973"/>
      <c r="H8" s="28"/>
    </row>
    <row r="9" spans="1:8">
      <c r="A9" s="965"/>
      <c r="B9" s="966"/>
      <c r="C9" s="966"/>
      <c r="D9" s="966"/>
      <c r="E9" s="966"/>
      <c r="F9" s="966"/>
      <c r="G9" s="27"/>
    </row>
    <row r="10" spans="1:8" ht="181.5" customHeight="1">
      <c r="A10" s="967" t="s">
        <v>101</v>
      </c>
      <c r="B10" s="976"/>
      <c r="C10" s="976"/>
      <c r="D10" s="976"/>
      <c r="E10" s="976"/>
      <c r="F10" s="976"/>
      <c r="G10" s="27"/>
    </row>
    <row r="11" spans="1:8" ht="147" customHeight="1">
      <c r="A11" s="974" t="s">
        <v>102</v>
      </c>
      <c r="B11" s="975"/>
      <c r="C11" s="975"/>
      <c r="D11" s="975"/>
      <c r="E11" s="975"/>
      <c r="F11" s="975"/>
      <c r="G11" s="27"/>
    </row>
    <row r="12" spans="1:8" ht="87" customHeight="1">
      <c r="A12" s="967" t="s">
        <v>103</v>
      </c>
      <c r="B12" s="976"/>
      <c r="C12" s="976"/>
      <c r="D12" s="976"/>
      <c r="E12" s="976"/>
      <c r="F12" s="976"/>
      <c r="G12" s="27"/>
    </row>
    <row r="13" spans="1:8" ht="66" customHeight="1">
      <c r="A13" s="967" t="s">
        <v>104</v>
      </c>
      <c r="B13" s="968"/>
      <c r="C13" s="968"/>
      <c r="D13" s="968"/>
      <c r="E13" s="968"/>
      <c r="F13" s="968"/>
      <c r="G13" s="27"/>
    </row>
    <row r="14" spans="1:8">
      <c r="A14" s="965"/>
      <c r="B14" s="966"/>
      <c r="C14" s="966"/>
      <c r="D14" s="966"/>
      <c r="E14" s="966"/>
      <c r="F14" s="966"/>
      <c r="G14" s="27"/>
    </row>
    <row r="15" spans="1:8">
      <c r="A15" s="224"/>
      <c r="B15" s="225"/>
      <c r="C15" s="31"/>
      <c r="D15" s="32"/>
      <c r="E15" s="30"/>
      <c r="F15" s="30"/>
      <c r="G15" s="33"/>
    </row>
    <row r="16" spans="1:8">
      <c r="A16" s="34"/>
      <c r="B16" s="35"/>
      <c r="C16" s="36"/>
      <c r="D16" s="36"/>
      <c r="E16" s="37"/>
      <c r="F16" s="36"/>
      <c r="G16" s="38"/>
    </row>
    <row r="17" spans="1:12">
      <c r="A17" s="39"/>
      <c r="B17" s="40"/>
      <c r="C17" s="41"/>
      <c r="D17" s="42"/>
      <c r="F17" s="43"/>
      <c r="G17" s="42"/>
    </row>
    <row r="18" spans="1:12">
      <c r="A18" s="44"/>
      <c r="B18" s="45"/>
      <c r="C18" s="46"/>
      <c r="D18" s="47"/>
      <c r="E18" s="48"/>
      <c r="F18" s="49"/>
      <c r="G18" s="50"/>
    </row>
    <row r="19" spans="1:12" ht="93.75" customHeight="1">
      <c r="A19" s="13" t="s">
        <v>220</v>
      </c>
      <c r="B19" s="60" t="s">
        <v>421</v>
      </c>
      <c r="C19" s="53"/>
      <c r="D19" s="61"/>
      <c r="F19" s="62"/>
      <c r="G19" s="56"/>
    </row>
    <row r="20" spans="1:12">
      <c r="A20" s="108" t="s">
        <v>190</v>
      </c>
      <c r="B20" s="110" t="s">
        <v>107</v>
      </c>
      <c r="C20" s="53" t="s">
        <v>42</v>
      </c>
      <c r="D20" s="54">
        <v>1</v>
      </c>
      <c r="F20" s="55"/>
      <c r="G20" s="217">
        <f t="shared" ref="G20:G25" si="0">F20*D20</f>
        <v>0</v>
      </c>
      <c r="H20" s="88"/>
      <c r="I20" s="88"/>
      <c r="J20" s="88"/>
      <c r="K20" s="88"/>
      <c r="L20" s="88"/>
    </row>
    <row r="21" spans="1:12">
      <c r="A21" s="108" t="s">
        <v>191</v>
      </c>
      <c r="B21" s="110" t="s">
        <v>105</v>
      </c>
      <c r="C21" s="53" t="s">
        <v>42</v>
      </c>
      <c r="D21" s="54">
        <v>1</v>
      </c>
      <c r="F21" s="55"/>
      <c r="G21" s="217">
        <f t="shared" si="0"/>
        <v>0</v>
      </c>
      <c r="H21" s="88"/>
      <c r="I21" s="88"/>
      <c r="J21" s="88"/>
      <c r="K21" s="88"/>
      <c r="L21" s="88"/>
    </row>
    <row r="22" spans="1:12">
      <c r="A22" s="108" t="s">
        <v>192</v>
      </c>
      <c r="B22" s="110" t="s">
        <v>106</v>
      </c>
      <c r="C22" s="53" t="s">
        <v>42</v>
      </c>
      <c r="D22" s="54">
        <v>7</v>
      </c>
      <c r="F22" s="55"/>
      <c r="G22" s="217">
        <f t="shared" si="0"/>
        <v>0</v>
      </c>
      <c r="H22" s="88"/>
      <c r="I22" s="88"/>
      <c r="J22" s="88"/>
      <c r="K22" s="88"/>
      <c r="L22" s="88"/>
    </row>
    <row r="23" spans="1:12">
      <c r="A23" s="108" t="s">
        <v>193</v>
      </c>
      <c r="B23" s="110" t="s">
        <v>422</v>
      </c>
      <c r="C23" s="53" t="s">
        <v>42</v>
      </c>
      <c r="D23" s="54">
        <v>4</v>
      </c>
      <c r="F23" s="55"/>
      <c r="G23" s="217">
        <f t="shared" si="0"/>
        <v>0</v>
      </c>
      <c r="H23" s="88"/>
      <c r="I23" s="88"/>
      <c r="J23" s="88"/>
      <c r="K23" s="88"/>
      <c r="L23" s="88"/>
    </row>
    <row r="24" spans="1:12">
      <c r="A24" s="108" t="s">
        <v>194</v>
      </c>
      <c r="B24" s="110" t="s">
        <v>490</v>
      </c>
      <c r="C24" s="53" t="s">
        <v>42</v>
      </c>
      <c r="D24" s="54">
        <v>1</v>
      </c>
      <c r="F24" s="55"/>
      <c r="G24" s="217">
        <f t="shared" si="0"/>
        <v>0</v>
      </c>
      <c r="H24" s="88"/>
      <c r="I24" s="88"/>
      <c r="J24" s="88"/>
      <c r="K24" s="88"/>
      <c r="L24" s="88"/>
    </row>
    <row r="25" spans="1:12">
      <c r="A25" s="108" t="s">
        <v>195</v>
      </c>
      <c r="B25" s="110" t="s">
        <v>423</v>
      </c>
      <c r="C25" s="53" t="s">
        <v>42</v>
      </c>
      <c r="D25" s="54">
        <v>2</v>
      </c>
      <c r="F25" s="55"/>
      <c r="G25" s="217">
        <f t="shared" si="0"/>
        <v>0</v>
      </c>
      <c r="H25" s="88"/>
      <c r="I25" s="88"/>
      <c r="J25" s="88"/>
      <c r="K25" s="88"/>
      <c r="L25" s="88"/>
    </row>
    <row r="26" spans="1:12">
      <c r="A26" s="108" t="s">
        <v>256</v>
      </c>
      <c r="B26" s="110" t="s">
        <v>424</v>
      </c>
      <c r="C26" s="53" t="s">
        <v>42</v>
      </c>
      <c r="D26" s="54">
        <v>1</v>
      </c>
      <c r="F26" s="55"/>
      <c r="G26" s="217">
        <f>F26*D26</f>
        <v>0</v>
      </c>
      <c r="H26" s="88"/>
      <c r="I26" s="88"/>
      <c r="J26" s="88"/>
      <c r="K26" s="88"/>
      <c r="L26" s="88"/>
    </row>
    <row r="27" spans="1:12">
      <c r="A27" s="13"/>
      <c r="B27" s="60"/>
      <c r="C27" s="53"/>
      <c r="D27" s="61"/>
      <c r="F27" s="62"/>
      <c r="G27" s="56"/>
    </row>
    <row r="28" spans="1:12" ht="76.5">
      <c r="A28" s="13" t="s">
        <v>221</v>
      </c>
      <c r="B28" s="60" t="s">
        <v>425</v>
      </c>
      <c r="C28" s="53"/>
      <c r="D28" s="61"/>
      <c r="F28" s="62"/>
      <c r="G28" s="56"/>
    </row>
    <row r="29" spans="1:12">
      <c r="A29" s="108"/>
      <c r="B29" s="110" t="s">
        <v>426</v>
      </c>
      <c r="C29" s="53" t="s">
        <v>22</v>
      </c>
      <c r="D29" s="54">
        <f>(0.7+1.05+0.45+0.45+0.75+0.7+0.55+0.95+0.95+0.95+0.7+0.75+0.95+0.85+0.5+0.85+0.9)*2</f>
        <v>26</v>
      </c>
      <c r="F29" s="55"/>
      <c r="G29" s="217">
        <f t="shared" ref="G29:G30" si="1">F29*D29</f>
        <v>0</v>
      </c>
      <c r="H29" s="88"/>
      <c r="I29" s="88"/>
      <c r="J29" s="88"/>
      <c r="K29" s="88"/>
      <c r="L29" s="88"/>
    </row>
    <row r="30" spans="1:12">
      <c r="A30" s="108"/>
      <c r="B30" s="110" t="s">
        <v>107</v>
      </c>
      <c r="C30" s="53" t="s">
        <v>42</v>
      </c>
      <c r="D30" s="54">
        <v>11</v>
      </c>
      <c r="F30" s="55"/>
      <c r="G30" s="217">
        <f t="shared" si="1"/>
        <v>0</v>
      </c>
      <c r="H30" s="88"/>
      <c r="I30" s="88"/>
      <c r="J30" s="88"/>
      <c r="K30" s="88"/>
      <c r="L30" s="88"/>
    </row>
    <row r="31" spans="1:12">
      <c r="A31" s="108"/>
      <c r="B31" s="110"/>
      <c r="C31" s="53"/>
      <c r="D31" s="198"/>
      <c r="F31" s="62"/>
      <c r="G31" s="217"/>
      <c r="H31" s="88"/>
      <c r="I31" s="88"/>
      <c r="J31" s="88"/>
      <c r="K31" s="88"/>
      <c r="L31" s="88"/>
    </row>
    <row r="32" spans="1:12" ht="153" customHeight="1">
      <c r="A32" s="13" t="s">
        <v>489</v>
      </c>
      <c r="B32" s="60" t="s">
        <v>485</v>
      </c>
      <c r="C32" s="53"/>
      <c r="D32" s="61"/>
      <c r="F32" s="62"/>
      <c r="G32" s="56"/>
    </row>
    <row r="33" spans="1:7" ht="15" customHeight="1">
      <c r="A33" s="13"/>
      <c r="B33" s="110" t="s">
        <v>488</v>
      </c>
      <c r="C33" s="53" t="s">
        <v>42</v>
      </c>
      <c r="D33" s="54">
        <v>2</v>
      </c>
      <c r="F33" s="55"/>
      <c r="G33" s="217">
        <f>F33*D33</f>
        <v>0</v>
      </c>
    </row>
    <row r="34" spans="1:7" ht="15" customHeight="1">
      <c r="A34" s="13"/>
      <c r="B34" s="60"/>
      <c r="C34" s="53"/>
      <c r="D34" s="61"/>
      <c r="F34" s="62"/>
      <c r="G34" s="56"/>
    </row>
    <row r="35" spans="1:7" s="92" customFormat="1">
      <c r="A35" s="68"/>
      <c r="B35" s="69" t="s">
        <v>219</v>
      </c>
      <c r="C35" s="70"/>
      <c r="D35" s="89"/>
      <c r="E35" s="90"/>
      <c r="F35" s="71"/>
      <c r="G35" s="91"/>
    </row>
    <row r="36" spans="1:7" s="92" customFormat="1">
      <c r="A36" s="66"/>
      <c r="B36" s="67" t="s">
        <v>15</v>
      </c>
      <c r="C36" s="206"/>
      <c r="D36" s="93"/>
      <c r="E36" s="87"/>
      <c r="F36" s="65"/>
      <c r="G36" s="72">
        <f>SUM(G18:G35)</f>
        <v>0</v>
      </c>
    </row>
    <row r="37" spans="1:7" s="92" customFormat="1">
      <c r="A37" s="277"/>
      <c r="B37" s="278"/>
      <c r="C37" s="279"/>
      <c r="D37" s="91"/>
      <c r="E37" s="90"/>
      <c r="F37" s="280"/>
      <c r="G37" s="91"/>
    </row>
  </sheetData>
  <mergeCells count="8">
    <mergeCell ref="F4:G4"/>
    <mergeCell ref="A14:F14"/>
    <mergeCell ref="A8:G8"/>
    <mergeCell ref="A9:F9"/>
    <mergeCell ref="A10:F10"/>
    <mergeCell ref="A11:F11"/>
    <mergeCell ref="A12:F12"/>
    <mergeCell ref="A13:F13"/>
  </mergeCells>
  <pageMargins left="0.59055118110236227" right="0.19685039370078741" top="0.59055118110236227" bottom="0.59055118110236227" header="0.19685039370078741" footer="0.19685039370078741"/>
  <pageSetup paperSize="9" scale="91" fitToHeight="0" orientation="portrait" r:id="rId1"/>
  <ignoredErrors>
    <ignoredError sqref="D29"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tint="-0.499984740745262"/>
    <pageSetUpPr fitToPage="1"/>
  </sheetPr>
  <dimension ref="A1:L81"/>
  <sheetViews>
    <sheetView showZeros="0" view="pageBreakPreview" topLeftCell="A25" zoomScaleNormal="100" zoomScaleSheetLayoutView="100" workbookViewId="0">
      <selection activeCell="B57" sqref="B57"/>
    </sheetView>
  </sheetViews>
  <sheetFormatPr defaultRowHeight="15"/>
  <cols>
    <col min="1" max="1" width="5.7109375" style="235" customWidth="1"/>
    <col min="2" max="2" width="45.7109375" style="73" customWidth="1"/>
    <col min="3" max="3" width="6.7109375" style="74" customWidth="1"/>
    <col min="4" max="4" width="10.7109375" style="15" customWidth="1"/>
    <col min="5" max="5" width="2.7109375" style="11" customWidth="1"/>
    <col min="6" max="6" width="15.7109375" style="75" customWidth="1"/>
    <col min="7" max="7" width="15.7109375" style="15" customWidth="1"/>
    <col min="8" max="16384" width="9.140625" style="186"/>
  </cols>
  <sheetData>
    <row r="1" spans="1:8" s="4" customFormat="1" ht="17.100000000000001" customHeight="1">
      <c r="A1" s="293"/>
      <c r="B1" s="274"/>
      <c r="C1" s="274"/>
      <c r="D1" s="274"/>
      <c r="E1" s="274"/>
      <c r="F1" s="274"/>
      <c r="G1" s="275"/>
    </row>
    <row r="2" spans="1:8" s="8" customFormat="1" ht="18" customHeight="1">
      <c r="A2" s="230"/>
      <c r="B2" s="6" t="s">
        <v>0</v>
      </c>
      <c r="C2" s="6"/>
      <c r="D2" s="6"/>
      <c r="E2" s="6"/>
      <c r="F2" s="6"/>
      <c r="G2" s="7"/>
    </row>
    <row r="3" spans="1:8" s="4" customFormat="1" ht="17.100000000000001" customHeight="1">
      <c r="A3" s="229"/>
      <c r="B3" s="2"/>
      <c r="C3" s="2"/>
      <c r="D3" s="2"/>
      <c r="E3" s="2"/>
      <c r="F3" s="2"/>
      <c r="G3" s="3"/>
    </row>
    <row r="4" spans="1:8" s="12" customFormat="1" ht="59.1" customHeight="1">
      <c r="A4" s="231"/>
      <c r="B4" s="9" t="s">
        <v>222</v>
      </c>
      <c r="C4" s="10"/>
      <c r="D4" s="223"/>
      <c r="E4" s="11"/>
      <c r="F4" s="969" t="s">
        <v>367</v>
      </c>
      <c r="G4" s="970"/>
    </row>
    <row r="5" spans="1:8" s="12" customFormat="1" ht="12.95" customHeight="1">
      <c r="A5" s="13"/>
      <c r="B5" s="14"/>
      <c r="C5" s="14"/>
      <c r="D5" s="15"/>
      <c r="E5" s="11"/>
      <c r="G5" s="15"/>
    </row>
    <row r="6" spans="1:8" s="12" customFormat="1">
      <c r="A6" s="16" t="s">
        <v>2</v>
      </c>
      <c r="B6" s="17" t="s">
        <v>3</v>
      </c>
      <c r="C6" s="18" t="s">
        <v>4</v>
      </c>
      <c r="D6" s="19" t="s">
        <v>6</v>
      </c>
      <c r="E6" s="20"/>
      <c r="F6" s="19" t="s">
        <v>5</v>
      </c>
      <c r="G6" s="19" t="s">
        <v>7</v>
      </c>
    </row>
    <row r="7" spans="1:8" ht="12.95" customHeight="1">
      <c r="A7" s="232"/>
      <c r="B7" s="23"/>
      <c r="C7" s="24"/>
      <c r="D7" s="25"/>
      <c r="E7" s="26"/>
      <c r="F7" s="26"/>
      <c r="G7" s="27"/>
    </row>
    <row r="8" spans="1:8" s="29" customFormat="1" ht="15" customHeight="1">
      <c r="A8" s="971" t="s">
        <v>8</v>
      </c>
      <c r="B8" s="972"/>
      <c r="C8" s="972"/>
      <c r="D8" s="972"/>
      <c r="E8" s="972"/>
      <c r="F8" s="972"/>
      <c r="G8" s="973"/>
      <c r="H8" s="28"/>
    </row>
    <row r="9" spans="1:8">
      <c r="A9" s="965"/>
      <c r="B9" s="966"/>
      <c r="C9" s="966"/>
      <c r="D9" s="966"/>
      <c r="E9" s="966"/>
      <c r="F9" s="966"/>
      <c r="G9" s="27"/>
    </row>
    <row r="10" spans="1:8" ht="168" customHeight="1">
      <c r="A10" s="967" t="s">
        <v>108</v>
      </c>
      <c r="B10" s="976"/>
      <c r="C10" s="976"/>
      <c r="D10" s="976"/>
      <c r="E10" s="976"/>
      <c r="F10" s="976"/>
      <c r="G10" s="27"/>
    </row>
    <row r="11" spans="1:8" ht="107.25" customHeight="1">
      <c r="A11" s="974" t="s">
        <v>109</v>
      </c>
      <c r="B11" s="975"/>
      <c r="C11" s="975"/>
      <c r="D11" s="975"/>
      <c r="E11" s="975"/>
      <c r="F11" s="975"/>
      <c r="G11" s="27"/>
    </row>
    <row r="12" spans="1:8" ht="53.25" customHeight="1">
      <c r="A12" s="967" t="s">
        <v>180</v>
      </c>
      <c r="B12" s="976"/>
      <c r="C12" s="976"/>
      <c r="D12" s="976"/>
      <c r="E12" s="976"/>
      <c r="F12" s="976"/>
      <c r="G12" s="27"/>
    </row>
    <row r="13" spans="1:8" ht="75.75" customHeight="1">
      <c r="A13" s="967" t="s">
        <v>181</v>
      </c>
      <c r="B13" s="968"/>
      <c r="C13" s="968"/>
      <c r="D13" s="968"/>
      <c r="E13" s="968"/>
      <c r="F13" s="968"/>
      <c r="G13" s="27"/>
    </row>
    <row r="14" spans="1:8" ht="148.5" customHeight="1">
      <c r="A14" s="967" t="s">
        <v>110</v>
      </c>
      <c r="B14" s="968"/>
      <c r="C14" s="968"/>
      <c r="D14" s="968"/>
      <c r="E14" s="968"/>
      <c r="F14" s="968"/>
      <c r="G14" s="27"/>
    </row>
    <row r="15" spans="1:8" ht="61.5" customHeight="1">
      <c r="A15" s="967" t="s">
        <v>481</v>
      </c>
      <c r="B15" s="968"/>
      <c r="C15" s="968"/>
      <c r="D15" s="968"/>
      <c r="E15" s="968"/>
      <c r="F15" s="968"/>
      <c r="G15" s="27"/>
    </row>
    <row r="16" spans="1:8" ht="15" customHeight="1">
      <c r="A16" s="369"/>
      <c r="B16" s="370"/>
      <c r="C16" s="370"/>
      <c r="D16" s="370"/>
      <c r="E16" s="370"/>
      <c r="F16" s="370"/>
      <c r="G16" s="27"/>
    </row>
    <row r="17" spans="1:12">
      <c r="A17" s="234"/>
      <c r="B17" s="35" t="s">
        <v>427</v>
      </c>
      <c r="C17" s="36"/>
      <c r="D17" s="36"/>
      <c r="E17" s="37"/>
      <c r="F17" s="36"/>
      <c r="G17" s="38"/>
    </row>
    <row r="18" spans="1:12" ht="12.95" customHeight="1">
      <c r="A18" s="39"/>
      <c r="B18" s="40"/>
      <c r="C18" s="41"/>
      <c r="D18" s="42"/>
      <c r="F18" s="43"/>
      <c r="G18" s="42"/>
    </row>
    <row r="19" spans="1:12" ht="12.95" customHeight="1">
      <c r="A19" s="44"/>
      <c r="B19" s="45"/>
      <c r="C19" s="46"/>
      <c r="D19" s="47"/>
      <c r="E19" s="48"/>
      <c r="F19" s="49"/>
      <c r="G19" s="50"/>
    </row>
    <row r="20" spans="1:12" ht="132.75" customHeight="1">
      <c r="A20" s="13" t="s">
        <v>223</v>
      </c>
      <c r="B20" s="60" t="s">
        <v>432</v>
      </c>
      <c r="C20" s="53"/>
      <c r="D20" s="61"/>
      <c r="F20" s="62"/>
      <c r="G20" s="56"/>
    </row>
    <row r="21" spans="1:12" ht="12.95" customHeight="1">
      <c r="A21" s="108"/>
      <c r="B21" s="110" t="s">
        <v>512</v>
      </c>
      <c r="C21" s="53" t="s">
        <v>42</v>
      </c>
      <c r="D21" s="54">
        <v>2</v>
      </c>
      <c r="F21" s="55"/>
      <c r="G21" s="56">
        <f>$D21*F21</f>
        <v>0</v>
      </c>
      <c r="H21" s="88"/>
      <c r="I21" s="88"/>
      <c r="J21" s="88"/>
      <c r="K21" s="88"/>
      <c r="L21" s="88"/>
    </row>
    <row r="22" spans="1:12" ht="12.95" customHeight="1">
      <c r="A22" s="109"/>
      <c r="B22" s="57"/>
      <c r="C22" s="41"/>
      <c r="F22" s="58"/>
    </row>
    <row r="23" spans="1:12" s="77" customFormat="1" ht="144.75" customHeight="1">
      <c r="A23" s="13" t="s">
        <v>224</v>
      </c>
      <c r="B23" s="60" t="s">
        <v>428</v>
      </c>
      <c r="C23" s="53"/>
      <c r="D23" s="61"/>
      <c r="E23" s="87"/>
      <c r="F23" s="62"/>
      <c r="G23" s="56"/>
    </row>
    <row r="24" spans="1:12" s="77" customFormat="1" ht="12.95" customHeight="1">
      <c r="A24" s="13"/>
      <c r="B24" s="110" t="s">
        <v>433</v>
      </c>
      <c r="C24" s="53" t="s">
        <v>42</v>
      </c>
      <c r="D24" s="54">
        <v>1</v>
      </c>
      <c r="E24" s="87"/>
      <c r="F24" s="55"/>
      <c r="G24" s="56">
        <f>$D24*F24</f>
        <v>0</v>
      </c>
    </row>
    <row r="25" spans="1:12" s="77" customFormat="1" ht="12.95" customHeight="1">
      <c r="A25" s="99"/>
      <c r="B25" s="110" t="s">
        <v>429</v>
      </c>
      <c r="C25" s="53" t="s">
        <v>42</v>
      </c>
      <c r="D25" s="54">
        <v>5</v>
      </c>
      <c r="E25" s="87"/>
      <c r="F25" s="55"/>
      <c r="G25" s="56">
        <f>$D25*F25</f>
        <v>0</v>
      </c>
    </row>
    <row r="26" spans="1:12" s="77" customFormat="1" ht="12.95" customHeight="1">
      <c r="A26" s="99"/>
      <c r="B26" s="110" t="s">
        <v>430</v>
      </c>
      <c r="C26" s="53" t="s">
        <v>42</v>
      </c>
      <c r="D26" s="54">
        <v>1</v>
      </c>
      <c r="E26" s="87"/>
      <c r="F26" s="55"/>
      <c r="G26" s="56">
        <f>$D26*F26</f>
        <v>0</v>
      </c>
    </row>
    <row r="27" spans="1:12" s="77" customFormat="1" ht="12.95" customHeight="1">
      <c r="A27" s="99"/>
      <c r="B27" s="110" t="s">
        <v>431</v>
      </c>
      <c r="C27" s="53" t="s">
        <v>42</v>
      </c>
      <c r="D27" s="54">
        <v>3</v>
      </c>
      <c r="E27" s="87"/>
      <c r="F27" s="55"/>
      <c r="G27" s="56">
        <f>$D27*F27</f>
        <v>0</v>
      </c>
    </row>
    <row r="28" spans="1:12" ht="12.95" customHeight="1">
      <c r="A28" s="109"/>
      <c r="B28" s="57"/>
      <c r="C28" s="41"/>
      <c r="F28" s="58"/>
    </row>
    <row r="29" spans="1:12" s="77" customFormat="1" ht="153">
      <c r="A29" s="13" t="s">
        <v>225</v>
      </c>
      <c r="B29" s="60" t="s">
        <v>1562</v>
      </c>
      <c r="C29" s="53"/>
      <c r="D29" s="61"/>
      <c r="E29" s="87"/>
      <c r="F29" s="62"/>
      <c r="G29" s="56"/>
    </row>
    <row r="30" spans="1:12" s="77" customFormat="1">
      <c r="A30" s="99"/>
      <c r="B30" s="110" t="s">
        <v>434</v>
      </c>
      <c r="C30" s="53" t="s">
        <v>42</v>
      </c>
      <c r="D30" s="54">
        <v>2</v>
      </c>
      <c r="E30" s="87"/>
      <c r="F30" s="55"/>
      <c r="G30" s="56">
        <f>$D30*F30</f>
        <v>0</v>
      </c>
    </row>
    <row r="31" spans="1:12">
      <c r="A31" s="109"/>
      <c r="B31" s="57"/>
      <c r="C31" s="41"/>
      <c r="F31" s="58"/>
    </row>
    <row r="32" spans="1:12" s="77" customFormat="1" ht="140.25">
      <c r="A32" s="13" t="s">
        <v>226</v>
      </c>
      <c r="B32" s="60" t="s">
        <v>480</v>
      </c>
      <c r="C32" s="53"/>
      <c r="D32" s="61"/>
      <c r="E32" s="87"/>
      <c r="F32" s="62"/>
      <c r="G32" s="56"/>
    </row>
    <row r="33" spans="1:7" s="77" customFormat="1">
      <c r="A33" s="99"/>
      <c r="B33" s="110" t="s">
        <v>435</v>
      </c>
      <c r="C33" s="53" t="s">
        <v>42</v>
      </c>
      <c r="D33" s="54">
        <v>1</v>
      </c>
      <c r="E33" s="87"/>
      <c r="F33" s="55"/>
      <c r="G33" s="56">
        <f>$D33*F33</f>
        <v>0</v>
      </c>
    </row>
    <row r="34" spans="1:7" s="77" customFormat="1">
      <c r="A34" s="99"/>
      <c r="B34" s="110" t="s">
        <v>436</v>
      </c>
      <c r="C34" s="53" t="s">
        <v>42</v>
      </c>
      <c r="D34" s="54">
        <v>1</v>
      </c>
      <c r="E34" s="87"/>
      <c r="F34" s="55"/>
      <c r="G34" s="56">
        <f>$D34*F34</f>
        <v>0</v>
      </c>
    </row>
    <row r="35" spans="1:7" ht="12.95" customHeight="1">
      <c r="A35" s="109"/>
      <c r="B35" s="57"/>
      <c r="C35" s="41"/>
      <c r="F35" s="58"/>
    </row>
    <row r="36" spans="1:7" s="77" customFormat="1" ht="140.25">
      <c r="A36" s="13" t="s">
        <v>227</v>
      </c>
      <c r="B36" s="60" t="s">
        <v>437</v>
      </c>
      <c r="C36" s="53"/>
      <c r="D36" s="61"/>
      <c r="E36" s="87"/>
      <c r="F36" s="62"/>
      <c r="G36" s="56"/>
    </row>
    <row r="37" spans="1:7" s="77" customFormat="1">
      <c r="A37" s="99"/>
      <c r="B37" s="110" t="s">
        <v>438</v>
      </c>
      <c r="C37" s="53" t="s">
        <v>42</v>
      </c>
      <c r="D37" s="54">
        <v>2</v>
      </c>
      <c r="E37" s="87"/>
      <c r="F37" s="55"/>
      <c r="G37" s="56">
        <f>$D37*F37</f>
        <v>0</v>
      </c>
    </row>
    <row r="38" spans="1:7" s="77" customFormat="1">
      <c r="A38" s="99"/>
      <c r="B38" s="110" t="s">
        <v>439</v>
      </c>
      <c r="C38" s="53" t="s">
        <v>42</v>
      </c>
      <c r="D38" s="54">
        <v>2</v>
      </c>
      <c r="E38" s="87"/>
      <c r="F38" s="55"/>
      <c r="G38" s="56">
        <f>$D38*F38</f>
        <v>0</v>
      </c>
    </row>
    <row r="39" spans="1:7" ht="12.95" customHeight="1">
      <c r="A39" s="109"/>
      <c r="B39" s="57"/>
      <c r="C39" s="41"/>
      <c r="F39" s="58"/>
    </row>
    <row r="40" spans="1:7" s="77" customFormat="1" ht="127.5">
      <c r="A40" s="13" t="s">
        <v>228</v>
      </c>
      <c r="B40" s="60" t="s">
        <v>440</v>
      </c>
      <c r="C40" s="53"/>
      <c r="D40" s="61"/>
      <c r="E40" s="87"/>
      <c r="F40" s="62"/>
      <c r="G40" s="56"/>
    </row>
    <row r="41" spans="1:7" s="77" customFormat="1">
      <c r="A41" s="99"/>
      <c r="B41" s="110" t="s">
        <v>513</v>
      </c>
      <c r="C41" s="53" t="s">
        <v>42</v>
      </c>
      <c r="D41" s="54">
        <v>2</v>
      </c>
      <c r="E41" s="87"/>
      <c r="F41" s="55"/>
      <c r="G41" s="56">
        <f t="shared" ref="G41:G43" si="0">$D41*F41</f>
        <v>0</v>
      </c>
    </row>
    <row r="42" spans="1:7">
      <c r="A42" s="109"/>
      <c r="B42" s="110" t="s">
        <v>441</v>
      </c>
      <c r="C42" s="53" t="s">
        <v>42</v>
      </c>
      <c r="D42" s="54">
        <v>1</v>
      </c>
      <c r="F42" s="55"/>
      <c r="G42" s="56">
        <f t="shared" si="0"/>
        <v>0</v>
      </c>
    </row>
    <row r="43" spans="1:7">
      <c r="A43" s="109"/>
      <c r="B43" s="110" t="s">
        <v>442</v>
      </c>
      <c r="C43" s="53" t="s">
        <v>42</v>
      </c>
      <c r="D43" s="54">
        <v>6</v>
      </c>
      <c r="F43" s="55"/>
      <c r="G43" s="56">
        <f t="shared" si="0"/>
        <v>0</v>
      </c>
    </row>
    <row r="44" spans="1:7">
      <c r="A44" s="109"/>
      <c r="B44" s="110"/>
      <c r="C44" s="41"/>
      <c r="F44" s="58"/>
    </row>
    <row r="45" spans="1:7" s="77" customFormat="1" ht="102">
      <c r="A45" s="13" t="s">
        <v>229</v>
      </c>
      <c r="B45" s="60" t="s">
        <v>1558</v>
      </c>
      <c r="C45" s="53"/>
      <c r="D45" s="61"/>
      <c r="E45" s="87"/>
      <c r="F45" s="62"/>
      <c r="G45" s="56"/>
    </row>
    <row r="46" spans="1:7" s="77" customFormat="1">
      <c r="A46" s="99"/>
      <c r="B46" s="110" t="s">
        <v>1556</v>
      </c>
      <c r="C46" s="53" t="s">
        <v>42</v>
      </c>
      <c r="D46" s="54">
        <v>3</v>
      </c>
      <c r="E46" s="87"/>
      <c r="F46" s="55"/>
      <c r="G46" s="56">
        <f>$D46*F46</f>
        <v>0</v>
      </c>
    </row>
    <row r="47" spans="1:7">
      <c r="A47" s="109"/>
      <c r="B47" s="57"/>
      <c r="C47" s="41"/>
      <c r="F47" s="58"/>
    </row>
    <row r="48" spans="1:7" s="77" customFormat="1" ht="171" customHeight="1">
      <c r="A48" s="13" t="s">
        <v>230</v>
      </c>
      <c r="B48" s="60" t="s">
        <v>1557</v>
      </c>
      <c r="C48" s="53"/>
      <c r="D48" s="61"/>
      <c r="E48" s="87"/>
      <c r="F48" s="62"/>
      <c r="G48" s="56"/>
    </row>
    <row r="49" spans="1:7" s="77" customFormat="1">
      <c r="A49" s="99"/>
      <c r="B49" s="110" t="s">
        <v>1556</v>
      </c>
      <c r="C49" s="53" t="s">
        <v>42</v>
      </c>
      <c r="D49" s="54">
        <v>1</v>
      </c>
      <c r="E49" s="87"/>
      <c r="F49" s="55"/>
      <c r="G49" s="56">
        <f>$D49*F49</f>
        <v>0</v>
      </c>
    </row>
    <row r="50" spans="1:7" ht="12.95" customHeight="1">
      <c r="A50" s="109"/>
      <c r="B50" s="57"/>
      <c r="C50" s="41"/>
      <c r="F50" s="58"/>
    </row>
    <row r="51" spans="1:7" s="77" customFormat="1" ht="106.5" customHeight="1">
      <c r="A51" s="13" t="s">
        <v>231</v>
      </c>
      <c r="B51" s="60" t="s">
        <v>443</v>
      </c>
      <c r="C51" s="53"/>
      <c r="D51" s="61"/>
      <c r="E51" s="87"/>
      <c r="F51" s="62"/>
      <c r="G51" s="56"/>
    </row>
    <row r="52" spans="1:7" s="77" customFormat="1">
      <c r="A52" s="99"/>
      <c r="B52" s="110" t="s">
        <v>444</v>
      </c>
      <c r="C52" s="53" t="s">
        <v>42</v>
      </c>
      <c r="D52" s="54">
        <v>1</v>
      </c>
      <c r="E52" s="87"/>
      <c r="F52" s="55"/>
      <c r="G52" s="56">
        <f>$D52*F52</f>
        <v>0</v>
      </c>
    </row>
    <row r="53" spans="1:7" s="77" customFormat="1" ht="12.95" customHeight="1">
      <c r="A53" s="99"/>
      <c r="B53" s="110"/>
      <c r="C53" s="53"/>
      <c r="D53" s="198"/>
      <c r="E53" s="87"/>
      <c r="F53" s="62"/>
      <c r="G53" s="56">
        <f>$D53*F53</f>
        <v>0</v>
      </c>
    </row>
    <row r="54" spans="1:7" s="77" customFormat="1" ht="120" customHeight="1">
      <c r="A54" s="13" t="s">
        <v>232</v>
      </c>
      <c r="B54" s="60" t="s">
        <v>445</v>
      </c>
      <c r="C54" s="53"/>
      <c r="D54" s="61"/>
      <c r="E54" s="87"/>
      <c r="F54" s="62"/>
      <c r="G54" s="56"/>
    </row>
    <row r="55" spans="1:7" s="77" customFormat="1">
      <c r="A55" s="99"/>
      <c r="B55" s="110" t="s">
        <v>446</v>
      </c>
      <c r="C55" s="53" t="s">
        <v>42</v>
      </c>
      <c r="D55" s="54">
        <v>3</v>
      </c>
      <c r="E55" s="87"/>
      <c r="F55" s="55"/>
      <c r="G55" s="56">
        <f>$D55*F55</f>
        <v>0</v>
      </c>
    </row>
    <row r="56" spans="1:7">
      <c r="A56" s="109"/>
      <c r="B56" s="57"/>
      <c r="C56" s="41"/>
      <c r="F56" s="58"/>
    </row>
    <row r="57" spans="1:7" s="77" customFormat="1" ht="132.75" customHeight="1">
      <c r="A57" s="13" t="s">
        <v>233</v>
      </c>
      <c r="B57" s="60" t="s">
        <v>448</v>
      </c>
      <c r="C57" s="53"/>
      <c r="D57" s="61"/>
      <c r="E57" s="87"/>
      <c r="F57" s="62"/>
      <c r="G57" s="56"/>
    </row>
    <row r="58" spans="1:7" s="77" customFormat="1">
      <c r="A58" s="99"/>
      <c r="B58" s="110" t="s">
        <v>447</v>
      </c>
      <c r="C58" s="53" t="s">
        <v>42</v>
      </c>
      <c r="D58" s="54">
        <v>1</v>
      </c>
      <c r="E58" s="87"/>
      <c r="F58" s="55"/>
      <c r="G58" s="56">
        <f>$D58*F58</f>
        <v>0</v>
      </c>
    </row>
    <row r="59" spans="1:7" ht="12.95" customHeight="1">
      <c r="A59" s="109"/>
      <c r="B59" s="57"/>
      <c r="C59" s="41"/>
      <c r="F59" s="58"/>
    </row>
    <row r="60" spans="1:7" s="77" customFormat="1" ht="117.75" customHeight="1">
      <c r="A60" s="13" t="s">
        <v>234</v>
      </c>
      <c r="B60" s="60" t="s">
        <v>1561</v>
      </c>
      <c r="C60" s="53"/>
      <c r="D60" s="61"/>
      <c r="E60" s="87"/>
      <c r="F60" s="62"/>
      <c r="G60" s="56"/>
    </row>
    <row r="61" spans="1:7" s="77" customFormat="1">
      <c r="A61" s="99"/>
      <c r="B61" s="110" t="s">
        <v>449</v>
      </c>
      <c r="C61" s="53" t="s">
        <v>42</v>
      </c>
      <c r="D61" s="54">
        <v>4</v>
      </c>
      <c r="E61" s="87"/>
      <c r="F61" s="55"/>
      <c r="G61" s="56">
        <f>$D61*F61</f>
        <v>0</v>
      </c>
    </row>
    <row r="62" spans="1:7" ht="12.95" customHeight="1">
      <c r="A62" s="109"/>
      <c r="B62" s="57"/>
      <c r="C62" s="41"/>
      <c r="F62" s="58"/>
    </row>
    <row r="63" spans="1:7" s="77" customFormat="1">
      <c r="A63" s="234"/>
      <c r="B63" s="35" t="s">
        <v>450</v>
      </c>
      <c r="C63" s="36"/>
      <c r="D63" s="36"/>
      <c r="E63" s="37"/>
      <c r="F63" s="36"/>
      <c r="G63" s="38"/>
    </row>
    <row r="64" spans="1:7">
      <c r="A64" s="109"/>
      <c r="B64" s="57"/>
      <c r="C64" s="41"/>
      <c r="F64" s="58"/>
    </row>
    <row r="65" spans="1:7" s="77" customFormat="1" ht="93.75" customHeight="1">
      <c r="A65" s="13" t="s">
        <v>235</v>
      </c>
      <c r="B65" s="60" t="s">
        <v>452</v>
      </c>
      <c r="C65" s="53"/>
      <c r="D65" s="61"/>
      <c r="E65" s="87"/>
      <c r="F65" s="62"/>
      <c r="G65" s="56"/>
    </row>
    <row r="66" spans="1:7" s="77" customFormat="1">
      <c r="A66" s="99"/>
      <c r="B66" s="110" t="s">
        <v>439</v>
      </c>
      <c r="C66" s="53" t="s">
        <v>42</v>
      </c>
      <c r="D66" s="54">
        <v>1</v>
      </c>
      <c r="E66" s="87"/>
      <c r="F66" s="55"/>
      <c r="G66" s="56">
        <f>$D66*F66</f>
        <v>0</v>
      </c>
    </row>
    <row r="67" spans="1:7" ht="12.95" customHeight="1">
      <c r="A67" s="109"/>
      <c r="B67" s="57"/>
      <c r="C67" s="41"/>
      <c r="F67" s="58"/>
    </row>
    <row r="68" spans="1:7" s="77" customFormat="1" ht="66" customHeight="1">
      <c r="A68" s="13" t="s">
        <v>236</v>
      </c>
      <c r="B68" s="60" t="s">
        <v>482</v>
      </c>
      <c r="C68" s="53"/>
      <c r="D68" s="61"/>
      <c r="E68" s="87"/>
      <c r="F68" s="62"/>
      <c r="G68" s="56"/>
    </row>
    <row r="69" spans="1:7" s="77" customFormat="1">
      <c r="A69" s="99"/>
      <c r="B69" s="110" t="s">
        <v>454</v>
      </c>
      <c r="C69" s="53" t="s">
        <v>42</v>
      </c>
      <c r="D69" s="54">
        <v>1</v>
      </c>
      <c r="E69" s="87"/>
      <c r="F69" s="55"/>
      <c r="G69" s="56">
        <f>$D69*F69</f>
        <v>0</v>
      </c>
    </row>
    <row r="70" spans="1:7" s="77" customFormat="1" ht="12.95" customHeight="1">
      <c r="A70" s="99"/>
      <c r="B70" s="110"/>
      <c r="C70" s="53"/>
      <c r="D70" s="198"/>
      <c r="E70" s="87"/>
      <c r="F70" s="62"/>
      <c r="G70" s="56">
        <f>$D70*F70</f>
        <v>0</v>
      </c>
    </row>
    <row r="71" spans="1:7" s="77" customFormat="1" ht="121.5" customHeight="1">
      <c r="A71" s="13" t="s">
        <v>237</v>
      </c>
      <c r="B71" s="60" t="s">
        <v>483</v>
      </c>
      <c r="C71" s="53"/>
      <c r="D71" s="61"/>
      <c r="E71" s="87"/>
      <c r="F71" s="62"/>
      <c r="G71" s="56"/>
    </row>
    <row r="72" spans="1:7" s="77" customFormat="1">
      <c r="A72" s="99"/>
      <c r="B72" s="110" t="s">
        <v>454</v>
      </c>
      <c r="C72" s="53" t="s">
        <v>42</v>
      </c>
      <c r="D72" s="54">
        <v>1</v>
      </c>
      <c r="E72" s="87"/>
      <c r="F72" s="55"/>
      <c r="G72" s="56">
        <f>$D72*F72</f>
        <v>0</v>
      </c>
    </row>
    <row r="73" spans="1:7" ht="12.95" customHeight="1">
      <c r="A73" s="109"/>
      <c r="B73" s="57"/>
      <c r="C73" s="41"/>
      <c r="F73" s="58"/>
    </row>
    <row r="74" spans="1:7" s="77" customFormat="1" ht="118.5" customHeight="1">
      <c r="A74" s="13" t="s">
        <v>238</v>
      </c>
      <c r="B74" s="60" t="s">
        <v>484</v>
      </c>
      <c r="C74" s="53"/>
      <c r="D74" s="61"/>
      <c r="E74" s="87"/>
      <c r="F74" s="62"/>
      <c r="G74" s="56"/>
    </row>
    <row r="75" spans="1:7" s="77" customFormat="1">
      <c r="A75" s="99"/>
      <c r="B75" s="110" t="s">
        <v>491</v>
      </c>
      <c r="C75" s="53" t="s">
        <v>42</v>
      </c>
      <c r="D75" s="54">
        <v>4</v>
      </c>
      <c r="E75" s="87"/>
      <c r="F75" s="55"/>
      <c r="G75" s="56">
        <f>$D75*F75</f>
        <v>0</v>
      </c>
    </row>
    <row r="76" spans="1:7" s="77" customFormat="1">
      <c r="A76" s="99"/>
      <c r="B76" s="110" t="s">
        <v>486</v>
      </c>
      <c r="C76" s="53" t="s">
        <v>42</v>
      </c>
      <c r="D76" s="54">
        <v>2</v>
      </c>
      <c r="E76" s="87"/>
      <c r="F76" s="55"/>
      <c r="G76" s="56">
        <f>$D76*F76</f>
        <v>0</v>
      </c>
    </row>
    <row r="77" spans="1:7" s="77" customFormat="1">
      <c r="A77" s="99"/>
      <c r="B77" s="110" t="s">
        <v>487</v>
      </c>
      <c r="C77" s="53" t="s">
        <v>42</v>
      </c>
      <c r="D77" s="54">
        <v>2</v>
      </c>
      <c r="E77" s="87"/>
      <c r="F77" s="55"/>
      <c r="G77" s="56">
        <f>$D77*F77</f>
        <v>0</v>
      </c>
    </row>
    <row r="78" spans="1:7" s="77" customFormat="1" ht="12.95" customHeight="1">
      <c r="A78" s="13"/>
      <c r="B78" s="60"/>
      <c r="C78" s="53"/>
      <c r="D78" s="61"/>
      <c r="E78" s="87"/>
      <c r="F78" s="62"/>
      <c r="G78" s="56"/>
    </row>
    <row r="79" spans="1:7" s="92" customFormat="1">
      <c r="A79" s="68"/>
      <c r="B79" s="69" t="s">
        <v>222</v>
      </c>
      <c r="C79" s="70"/>
      <c r="D79" s="89"/>
      <c r="E79" s="90"/>
      <c r="F79" s="71"/>
      <c r="G79" s="91"/>
    </row>
    <row r="80" spans="1:7" s="92" customFormat="1">
      <c r="A80" s="66"/>
      <c r="B80" s="67" t="s">
        <v>15</v>
      </c>
      <c r="C80" s="206"/>
      <c r="D80" s="93"/>
      <c r="E80" s="87"/>
      <c r="F80" s="65"/>
      <c r="G80" s="72">
        <f>SUM(G19:G79)</f>
        <v>0</v>
      </c>
    </row>
    <row r="81" spans="1:7" s="92" customFormat="1">
      <c r="A81" s="294"/>
      <c r="B81" s="278"/>
      <c r="C81" s="279"/>
      <c r="D81" s="91"/>
      <c r="E81" s="90"/>
      <c r="F81" s="280"/>
      <c r="G81" s="91"/>
    </row>
  </sheetData>
  <mergeCells count="9">
    <mergeCell ref="F4:G4"/>
    <mergeCell ref="A15:F15"/>
    <mergeCell ref="A13:F13"/>
    <mergeCell ref="A14:F14"/>
    <mergeCell ref="A8:G8"/>
    <mergeCell ref="A9:F9"/>
    <mergeCell ref="A10:F10"/>
    <mergeCell ref="A11:F11"/>
    <mergeCell ref="A12:F12"/>
  </mergeCells>
  <pageMargins left="0.59055118110236227" right="0.19685039370078741" top="0.59055118110236227" bottom="0.59055118110236227" header="0.19685039370078741" footer="0.19685039370078741"/>
  <pageSetup paperSize="9" scale="91" fitToHeight="0" orientation="portrait" r:id="rId1"/>
  <rowBreaks count="1" manualBreakCount="1">
    <brk id="16" max="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tint="0.79998168889431442"/>
    <pageSetUpPr fitToPage="1"/>
  </sheetPr>
  <dimension ref="A1:L26"/>
  <sheetViews>
    <sheetView showZeros="0" view="pageBreakPreview" topLeftCell="A16" zoomScaleNormal="100" zoomScaleSheetLayoutView="100" workbookViewId="0">
      <selection activeCell="F21" sqref="F21:F24"/>
    </sheetView>
  </sheetViews>
  <sheetFormatPr defaultRowHeight="15"/>
  <cols>
    <col min="1" max="1" width="5.7109375" style="59" customWidth="1"/>
    <col min="2" max="2" width="45.7109375" style="73" customWidth="1"/>
    <col min="3" max="3" width="6.7109375" style="74" customWidth="1"/>
    <col min="4" max="4" width="10.7109375" style="15" customWidth="1"/>
    <col min="5" max="5" width="2.7109375" style="11" customWidth="1"/>
    <col min="6" max="6" width="15.7109375" style="75" customWidth="1"/>
    <col min="7" max="7" width="15.7109375" style="15" customWidth="1"/>
    <col min="8" max="16384" width="9.140625" style="186"/>
  </cols>
  <sheetData>
    <row r="1" spans="1:8" s="4" customFormat="1" ht="18">
      <c r="A1" s="273"/>
      <c r="B1" s="274"/>
      <c r="C1" s="274"/>
      <c r="D1" s="274"/>
      <c r="E1" s="274"/>
      <c r="F1" s="274"/>
      <c r="G1" s="275"/>
    </row>
    <row r="2" spans="1:8" s="8" customFormat="1" ht="18">
      <c r="A2" s="5"/>
      <c r="B2" s="6" t="s">
        <v>0</v>
      </c>
      <c r="C2" s="6"/>
      <c r="D2" s="6"/>
      <c r="E2" s="6"/>
      <c r="F2" s="6"/>
      <c r="G2" s="7"/>
    </row>
    <row r="3" spans="1:8" s="4" customFormat="1" ht="18">
      <c r="A3" s="1"/>
      <c r="B3" s="2"/>
      <c r="C3" s="2"/>
      <c r="D3" s="2"/>
      <c r="E3" s="2"/>
      <c r="F3" s="2"/>
      <c r="G3" s="3"/>
    </row>
    <row r="4" spans="1:8" s="12" customFormat="1" ht="60" customHeight="1">
      <c r="A4" s="222"/>
      <c r="B4" s="9" t="s">
        <v>239</v>
      </c>
      <c r="C4" s="10"/>
      <c r="D4" s="223"/>
      <c r="E4" s="11"/>
      <c r="F4" s="969" t="s">
        <v>367</v>
      </c>
      <c r="G4" s="970"/>
    </row>
    <row r="5" spans="1:8" s="12" customFormat="1">
      <c r="A5" s="13"/>
      <c r="B5" s="14"/>
      <c r="C5" s="14"/>
      <c r="D5" s="15"/>
      <c r="E5" s="11"/>
      <c r="G5" s="15"/>
    </row>
    <row r="6" spans="1:8" s="12" customFormat="1">
      <c r="A6" s="16" t="s">
        <v>2</v>
      </c>
      <c r="B6" s="17" t="s">
        <v>3</v>
      </c>
      <c r="C6" s="18" t="s">
        <v>4</v>
      </c>
      <c r="D6" s="19" t="s">
        <v>6</v>
      </c>
      <c r="E6" s="20"/>
      <c r="F6" s="19" t="s">
        <v>5</v>
      </c>
      <c r="G6" s="19" t="s">
        <v>7</v>
      </c>
    </row>
    <row r="7" spans="1:8">
      <c r="A7" s="22"/>
      <c r="B7" s="23"/>
      <c r="C7" s="24"/>
      <c r="D7" s="25"/>
      <c r="E7" s="26"/>
      <c r="F7" s="26"/>
      <c r="G7" s="27"/>
    </row>
    <row r="8" spans="1:8" s="29" customFormat="1">
      <c r="A8" s="971" t="s">
        <v>8</v>
      </c>
      <c r="B8" s="972"/>
      <c r="C8" s="972"/>
      <c r="D8" s="972"/>
      <c r="E8" s="972"/>
      <c r="F8" s="972"/>
      <c r="G8" s="973"/>
      <c r="H8" s="28"/>
    </row>
    <row r="9" spans="1:8">
      <c r="A9" s="965"/>
      <c r="B9" s="966"/>
      <c r="C9" s="966"/>
      <c r="D9" s="966"/>
      <c r="E9" s="966"/>
      <c r="F9" s="966"/>
      <c r="G9" s="27"/>
    </row>
    <row r="10" spans="1:8" ht="126.75" customHeight="1">
      <c r="A10" s="967" t="s">
        <v>137</v>
      </c>
      <c r="B10" s="976"/>
      <c r="C10" s="976"/>
      <c r="D10" s="976"/>
      <c r="E10" s="976"/>
      <c r="F10" s="976"/>
      <c r="G10" s="27"/>
    </row>
    <row r="11" spans="1:8" ht="59.25" customHeight="1">
      <c r="A11" s="967" t="s">
        <v>138</v>
      </c>
      <c r="B11" s="976"/>
      <c r="C11" s="976"/>
      <c r="D11" s="976"/>
      <c r="E11" s="976"/>
      <c r="F11" s="976"/>
      <c r="G11" s="27"/>
    </row>
    <row r="12" spans="1:8" ht="73.5" customHeight="1">
      <c r="A12" s="967" t="s">
        <v>139</v>
      </c>
      <c r="B12" s="976"/>
      <c r="C12" s="976"/>
      <c r="D12" s="976"/>
      <c r="E12" s="976"/>
      <c r="F12" s="976"/>
      <c r="G12" s="27"/>
    </row>
    <row r="13" spans="1:8" ht="114" customHeight="1">
      <c r="A13" s="967" t="s">
        <v>140</v>
      </c>
      <c r="B13" s="976"/>
      <c r="C13" s="976"/>
      <c r="D13" s="976"/>
      <c r="E13" s="976"/>
      <c r="F13" s="976"/>
      <c r="G13" s="27"/>
    </row>
    <row r="14" spans="1:8" ht="104.25" customHeight="1">
      <c r="A14" s="967" t="s">
        <v>141</v>
      </c>
      <c r="B14" s="976"/>
      <c r="C14" s="976"/>
      <c r="D14" s="976"/>
      <c r="E14" s="976"/>
      <c r="F14" s="976"/>
      <c r="G14" s="27"/>
    </row>
    <row r="15" spans="1:8">
      <c r="A15" s="224"/>
      <c r="B15" s="225"/>
      <c r="C15" s="31"/>
      <c r="D15" s="32"/>
      <c r="E15" s="30"/>
      <c r="F15" s="30"/>
      <c r="G15" s="33"/>
    </row>
    <row r="16" spans="1:8">
      <c r="A16" s="224"/>
      <c r="B16" s="225"/>
      <c r="C16" s="31"/>
      <c r="D16" s="32"/>
      <c r="E16" s="30"/>
      <c r="F16" s="30"/>
      <c r="G16" s="33"/>
    </row>
    <row r="17" spans="1:12">
      <c r="A17" s="34"/>
      <c r="B17" s="35"/>
      <c r="C17" s="36"/>
      <c r="D17" s="36"/>
      <c r="E17" s="37"/>
      <c r="F17" s="36"/>
      <c r="G17" s="38"/>
    </row>
    <row r="18" spans="1:12">
      <c r="A18" s="39"/>
      <c r="B18" s="40"/>
      <c r="C18" s="41"/>
      <c r="D18" s="42"/>
      <c r="F18" s="43"/>
      <c r="G18" s="42"/>
    </row>
    <row r="19" spans="1:12">
      <c r="A19" s="44"/>
      <c r="B19" s="45"/>
      <c r="C19" s="46"/>
      <c r="D19" s="47"/>
      <c r="E19" s="48"/>
      <c r="F19" s="49"/>
      <c r="G19" s="50"/>
    </row>
    <row r="20" spans="1:12" ht="235.5" customHeight="1">
      <c r="A20" s="13" t="s">
        <v>240</v>
      </c>
      <c r="B20" s="60" t="s">
        <v>453</v>
      </c>
      <c r="C20" s="53"/>
      <c r="D20" s="61"/>
      <c r="F20" s="62"/>
      <c r="G20" s="56"/>
    </row>
    <row r="21" spans="1:12">
      <c r="A21" s="108"/>
      <c r="B21" s="110" t="s">
        <v>105</v>
      </c>
      <c r="C21" s="53" t="s">
        <v>42</v>
      </c>
      <c r="D21" s="54">
        <v>1</v>
      </c>
      <c r="F21" s="55"/>
      <c r="G21" s="56">
        <f>F21*D21</f>
        <v>0</v>
      </c>
      <c r="H21" s="88"/>
      <c r="I21" s="88"/>
      <c r="J21" s="88"/>
      <c r="K21" s="88"/>
      <c r="L21" s="88"/>
    </row>
    <row r="22" spans="1:12">
      <c r="A22" s="108"/>
      <c r="B22" s="110" t="s">
        <v>106</v>
      </c>
      <c r="C22" s="53" t="s">
        <v>42</v>
      </c>
      <c r="D22" s="54">
        <v>1</v>
      </c>
      <c r="F22" s="55"/>
      <c r="G22" s="56">
        <f>F22*D22</f>
        <v>0</v>
      </c>
      <c r="H22" s="88"/>
      <c r="I22" s="88"/>
      <c r="J22" s="88"/>
      <c r="K22" s="88"/>
      <c r="L22" s="88"/>
    </row>
    <row r="23" spans="1:12">
      <c r="A23" s="108"/>
      <c r="B23" s="110" t="s">
        <v>451</v>
      </c>
      <c r="C23" s="53" t="s">
        <v>42</v>
      </c>
      <c r="D23" s="54">
        <v>1</v>
      </c>
      <c r="F23" s="55"/>
      <c r="G23" s="56">
        <f>F23*D23</f>
        <v>0</v>
      </c>
      <c r="H23" s="88"/>
      <c r="I23" s="88"/>
      <c r="J23" s="88"/>
      <c r="K23" s="88"/>
      <c r="L23" s="88"/>
    </row>
    <row r="24" spans="1:12" s="77" customFormat="1">
      <c r="A24" s="84"/>
      <c r="B24" s="85"/>
      <c r="C24" s="81"/>
      <c r="D24" s="82"/>
      <c r="E24" s="76"/>
      <c r="F24" s="83"/>
      <c r="G24" s="80"/>
    </row>
    <row r="25" spans="1:12" s="92" customFormat="1">
      <c r="A25" s="68"/>
      <c r="B25" s="69" t="s">
        <v>239</v>
      </c>
      <c r="C25" s="70"/>
      <c r="D25" s="89"/>
      <c r="E25" s="90"/>
      <c r="F25" s="71"/>
      <c r="G25" s="91"/>
    </row>
    <row r="26" spans="1:12" s="92" customFormat="1">
      <c r="A26" s="355"/>
      <c r="B26" s="356" t="s">
        <v>15</v>
      </c>
      <c r="C26" s="357"/>
      <c r="D26" s="358"/>
      <c r="E26" s="359"/>
      <c r="F26" s="360"/>
      <c r="G26" s="361">
        <f>SUM(G19:G25)</f>
        <v>0</v>
      </c>
    </row>
  </sheetData>
  <mergeCells count="8">
    <mergeCell ref="F4:G4"/>
    <mergeCell ref="A14:F14"/>
    <mergeCell ref="A8:G8"/>
    <mergeCell ref="A9:F9"/>
    <mergeCell ref="A10:F10"/>
    <mergeCell ref="A11:F11"/>
    <mergeCell ref="A12:F12"/>
    <mergeCell ref="A13:F13"/>
  </mergeCells>
  <pageMargins left="0.59055118110236227" right="0.19685039370078741" top="0.59055118110236227" bottom="0.59055118110236227" header="0.19685039370078741" footer="0.19685039370078741"/>
  <pageSetup paperSize="9" scale="91"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8" tint="0.39997558519241921"/>
    <pageSetUpPr fitToPage="1"/>
  </sheetPr>
  <dimension ref="A1:L36"/>
  <sheetViews>
    <sheetView showZeros="0" view="pageBreakPreview" topLeftCell="A20" zoomScaleNormal="100" zoomScaleSheetLayoutView="100" workbookViewId="0">
      <selection activeCell="F20" sqref="F20:F21"/>
    </sheetView>
  </sheetViews>
  <sheetFormatPr defaultRowHeight="15"/>
  <cols>
    <col min="1" max="1" width="5.7109375" style="59" customWidth="1"/>
    <col min="2" max="2" width="45.7109375" style="73" customWidth="1"/>
    <col min="3" max="3" width="6.7109375" style="74" customWidth="1"/>
    <col min="4" max="4" width="10.7109375" style="15" customWidth="1"/>
    <col min="5" max="5" width="2.7109375" style="11" customWidth="1"/>
    <col min="6" max="6" width="15.7109375" style="75" customWidth="1"/>
    <col min="7" max="7" width="15.7109375" style="15" customWidth="1"/>
    <col min="8" max="16384" width="9.140625" style="186"/>
  </cols>
  <sheetData>
    <row r="1" spans="1:8" s="4" customFormat="1" ht="18">
      <c r="A1" s="273"/>
      <c r="B1" s="274"/>
      <c r="C1" s="274"/>
      <c r="D1" s="274"/>
      <c r="E1" s="274"/>
      <c r="F1" s="274"/>
      <c r="G1" s="275"/>
    </row>
    <row r="2" spans="1:8" s="8" customFormat="1" ht="18">
      <c r="A2" s="5"/>
      <c r="B2" s="6" t="s">
        <v>0</v>
      </c>
      <c r="C2" s="6"/>
      <c r="D2" s="6"/>
      <c r="E2" s="6"/>
      <c r="F2" s="6"/>
      <c r="G2" s="7"/>
    </row>
    <row r="3" spans="1:8" s="4" customFormat="1" ht="18">
      <c r="A3" s="1"/>
      <c r="B3" s="2"/>
      <c r="C3" s="2"/>
      <c r="D3" s="2"/>
      <c r="E3" s="2"/>
      <c r="F3" s="2"/>
      <c r="G3" s="3"/>
    </row>
    <row r="4" spans="1:8" s="12" customFormat="1" ht="60" customHeight="1">
      <c r="A4" s="222"/>
      <c r="B4" s="9" t="s">
        <v>458</v>
      </c>
      <c r="C4" s="10"/>
      <c r="D4" s="223"/>
      <c r="E4" s="11"/>
      <c r="F4" s="969" t="s">
        <v>367</v>
      </c>
      <c r="G4" s="970"/>
    </row>
    <row r="5" spans="1:8" s="12" customFormat="1">
      <c r="A5" s="13"/>
      <c r="B5" s="14"/>
      <c r="C5" s="14"/>
      <c r="D5" s="15"/>
      <c r="E5" s="11"/>
      <c r="G5" s="15"/>
    </row>
    <row r="6" spans="1:8" s="12" customFormat="1">
      <c r="A6" s="16" t="s">
        <v>2</v>
      </c>
      <c r="B6" s="17" t="s">
        <v>3</v>
      </c>
      <c r="C6" s="18" t="s">
        <v>4</v>
      </c>
      <c r="D6" s="19" t="s">
        <v>6</v>
      </c>
      <c r="E6" s="20"/>
      <c r="F6" s="19" t="s">
        <v>5</v>
      </c>
      <c r="G6" s="19" t="s">
        <v>7</v>
      </c>
    </row>
    <row r="7" spans="1:8">
      <c r="A7" s="22"/>
      <c r="B7" s="23"/>
      <c r="C7" s="24"/>
      <c r="D7" s="25"/>
      <c r="E7" s="26"/>
      <c r="F7" s="26"/>
      <c r="G7" s="27"/>
    </row>
    <row r="8" spans="1:8" s="29" customFormat="1" ht="15" customHeight="1">
      <c r="A8" s="971" t="s">
        <v>8</v>
      </c>
      <c r="B8" s="972"/>
      <c r="C8" s="972"/>
      <c r="D8" s="972"/>
      <c r="E8" s="972"/>
      <c r="F8" s="972"/>
      <c r="G8" s="973"/>
      <c r="H8" s="28"/>
    </row>
    <row r="9" spans="1:8">
      <c r="A9" s="965"/>
      <c r="B9" s="966"/>
      <c r="C9" s="966"/>
      <c r="D9" s="966"/>
      <c r="E9" s="966"/>
      <c r="F9" s="966"/>
      <c r="G9" s="27"/>
    </row>
    <row r="10" spans="1:8" ht="174.75" customHeight="1">
      <c r="A10" s="967" t="s">
        <v>182</v>
      </c>
      <c r="B10" s="976"/>
      <c r="C10" s="976"/>
      <c r="D10" s="976"/>
      <c r="E10" s="976"/>
      <c r="F10" s="976"/>
      <c r="G10" s="27"/>
    </row>
    <row r="11" spans="1:8" ht="105" customHeight="1">
      <c r="A11" s="967" t="s">
        <v>183</v>
      </c>
      <c r="B11" s="976"/>
      <c r="C11" s="976"/>
      <c r="D11" s="976"/>
      <c r="E11" s="976"/>
      <c r="F11" s="976"/>
      <c r="G11" s="27"/>
    </row>
    <row r="12" spans="1:8" ht="102" customHeight="1">
      <c r="A12" s="967" t="s">
        <v>184</v>
      </c>
      <c r="B12" s="976"/>
      <c r="C12" s="976"/>
      <c r="D12" s="976"/>
      <c r="E12" s="976"/>
      <c r="F12" s="976"/>
      <c r="G12" s="27"/>
    </row>
    <row r="13" spans="1:8" ht="99" customHeight="1">
      <c r="A13" s="967" t="s">
        <v>185</v>
      </c>
      <c r="B13" s="976"/>
      <c r="C13" s="976"/>
      <c r="D13" s="976"/>
      <c r="E13" s="976"/>
      <c r="F13" s="976"/>
      <c r="G13" s="27"/>
    </row>
    <row r="14" spans="1:8" ht="50.25" customHeight="1">
      <c r="A14" s="967" t="s">
        <v>122</v>
      </c>
      <c r="B14" s="968"/>
      <c r="C14" s="968"/>
      <c r="D14" s="968"/>
      <c r="E14" s="968"/>
      <c r="F14" s="968"/>
      <c r="G14" s="27"/>
    </row>
    <row r="15" spans="1:8">
      <c r="A15" s="965"/>
      <c r="B15" s="966"/>
      <c r="C15" s="966"/>
      <c r="D15" s="966"/>
      <c r="E15" s="966"/>
      <c r="F15" s="966"/>
      <c r="G15" s="27"/>
    </row>
    <row r="16" spans="1:8">
      <c r="A16" s="34"/>
      <c r="B16" s="35" t="s">
        <v>531</v>
      </c>
      <c r="C16" s="36"/>
      <c r="D16" s="36"/>
      <c r="E16" s="37"/>
      <c r="F16" s="36"/>
      <c r="G16" s="38"/>
    </row>
    <row r="17" spans="1:12">
      <c r="A17" s="39"/>
      <c r="B17" s="40"/>
      <c r="C17" s="41"/>
      <c r="D17" s="42"/>
      <c r="F17" s="43"/>
      <c r="G17" s="42"/>
    </row>
    <row r="18" spans="1:12">
      <c r="A18" s="44"/>
      <c r="B18" s="45"/>
      <c r="C18" s="46"/>
      <c r="D18" s="47"/>
      <c r="E18" s="48"/>
      <c r="F18" s="49"/>
      <c r="G18" s="50"/>
    </row>
    <row r="19" spans="1:12" ht="61.5" customHeight="1">
      <c r="A19" s="66" t="s">
        <v>250</v>
      </c>
      <c r="B19" s="60" t="s">
        <v>111</v>
      </c>
      <c r="C19" s="53"/>
      <c r="D19" s="61"/>
      <c r="F19" s="62"/>
      <c r="G19" s="56"/>
    </row>
    <row r="20" spans="1:12">
      <c r="A20" s="108"/>
      <c r="B20" s="110" t="s">
        <v>456</v>
      </c>
      <c r="C20" s="53" t="s">
        <v>42</v>
      </c>
      <c r="D20" s="54">
        <v>1</v>
      </c>
      <c r="F20" s="55"/>
      <c r="G20" s="56">
        <f>$D20*F20</f>
        <v>0</v>
      </c>
      <c r="H20" s="88"/>
      <c r="I20" s="88"/>
      <c r="J20" s="88"/>
      <c r="K20" s="88"/>
      <c r="L20" s="88"/>
    </row>
    <row r="21" spans="1:12">
      <c r="A21" s="108"/>
      <c r="B21" s="110" t="s">
        <v>455</v>
      </c>
      <c r="C21" s="53" t="s">
        <v>42</v>
      </c>
      <c r="D21" s="54">
        <v>1</v>
      </c>
      <c r="F21" s="55"/>
      <c r="G21" s="56">
        <f>$D21*F21</f>
        <v>0</v>
      </c>
      <c r="H21" s="88"/>
      <c r="I21" s="88"/>
      <c r="J21" s="88"/>
      <c r="K21" s="88"/>
      <c r="L21" s="88"/>
    </row>
    <row r="22" spans="1:12">
      <c r="A22" s="108"/>
      <c r="B22" s="110" t="s">
        <v>457</v>
      </c>
      <c r="C22" s="53" t="s">
        <v>42</v>
      </c>
      <c r="D22" s="54">
        <v>2</v>
      </c>
      <c r="F22" s="55"/>
      <c r="G22" s="56">
        <f>$D22*F22</f>
        <v>0</v>
      </c>
      <c r="H22" s="88"/>
      <c r="I22" s="88"/>
      <c r="J22" s="88"/>
      <c r="K22" s="88"/>
      <c r="L22" s="88"/>
    </row>
    <row r="23" spans="1:12">
      <c r="A23" s="13"/>
      <c r="B23" s="60"/>
      <c r="C23" s="53"/>
      <c r="D23" s="61"/>
      <c r="F23" s="62"/>
      <c r="G23" s="56"/>
    </row>
    <row r="24" spans="1:12" ht="66" customHeight="1">
      <c r="A24" s="66" t="s">
        <v>251</v>
      </c>
      <c r="B24" s="60" t="s">
        <v>528</v>
      </c>
      <c r="C24" s="53"/>
      <c r="D24" s="61"/>
      <c r="F24" s="62"/>
      <c r="G24" s="56"/>
    </row>
    <row r="25" spans="1:12">
      <c r="A25" s="108"/>
      <c r="B25" s="110" t="s">
        <v>530</v>
      </c>
      <c r="C25" s="53" t="s">
        <v>56</v>
      </c>
      <c r="D25" s="54">
        <v>110</v>
      </c>
      <c r="F25" s="55"/>
      <c r="G25" s="56">
        <f>$D25*F25</f>
        <v>0</v>
      </c>
      <c r="H25" s="88"/>
      <c r="I25" s="88"/>
      <c r="J25" s="88"/>
      <c r="K25" s="88"/>
      <c r="L25" s="88"/>
    </row>
    <row r="26" spans="1:12">
      <c r="A26" s="13"/>
      <c r="B26" s="60"/>
      <c r="C26" s="53"/>
      <c r="D26" s="61"/>
      <c r="F26" s="62"/>
      <c r="G26" s="56"/>
    </row>
    <row r="27" spans="1:12" ht="144.75" customHeight="1">
      <c r="A27" s="13" t="s">
        <v>524</v>
      </c>
      <c r="B27" s="60" t="s">
        <v>460</v>
      </c>
      <c r="C27" s="53"/>
      <c r="D27" s="61"/>
      <c r="F27" s="62"/>
      <c r="G27" s="56"/>
    </row>
    <row r="28" spans="1:12">
      <c r="A28" s="108"/>
      <c r="B28" s="110" t="s">
        <v>459</v>
      </c>
      <c r="C28" s="53" t="s">
        <v>42</v>
      </c>
      <c r="D28" s="54">
        <v>3</v>
      </c>
      <c r="F28" s="55"/>
      <c r="G28" s="56">
        <f>$D28*F28</f>
        <v>0</v>
      </c>
      <c r="H28" s="88"/>
      <c r="I28" s="88"/>
      <c r="J28" s="88"/>
      <c r="K28" s="88"/>
      <c r="L28" s="88"/>
    </row>
    <row r="29" spans="1:12">
      <c r="A29" s="108"/>
      <c r="B29" s="110"/>
      <c r="C29" s="53"/>
      <c r="D29" s="198"/>
      <c r="F29" s="62"/>
      <c r="G29" s="56"/>
      <c r="H29" s="88"/>
      <c r="I29" s="88"/>
      <c r="J29" s="88"/>
      <c r="K29" s="88"/>
      <c r="L29" s="88"/>
    </row>
    <row r="30" spans="1:12" ht="102">
      <c r="A30" s="13" t="s">
        <v>527</v>
      </c>
      <c r="B30" s="60" t="s">
        <v>529</v>
      </c>
      <c r="C30" s="53"/>
      <c r="D30" s="61"/>
      <c r="F30" s="62"/>
      <c r="G30" s="56"/>
    </row>
    <row r="31" spans="1:12">
      <c r="A31" s="13"/>
      <c r="B31" s="375" t="s">
        <v>525</v>
      </c>
      <c r="C31" s="53" t="s">
        <v>42</v>
      </c>
      <c r="D31" s="179">
        <v>1</v>
      </c>
      <c r="F31" s="55"/>
      <c r="G31" s="56">
        <f t="shared" ref="G31:G32" si="0">$D31*F31</f>
        <v>0</v>
      </c>
    </row>
    <row r="32" spans="1:12">
      <c r="A32" s="13"/>
      <c r="B32" s="375" t="s">
        <v>526</v>
      </c>
      <c r="C32" s="53" t="s">
        <v>42</v>
      </c>
      <c r="D32" s="179">
        <v>1</v>
      </c>
      <c r="F32" s="55"/>
      <c r="G32" s="56">
        <f t="shared" si="0"/>
        <v>0</v>
      </c>
    </row>
    <row r="33" spans="1:7" s="77" customFormat="1">
      <c r="A33" s="84"/>
      <c r="B33" s="85"/>
      <c r="C33" s="81"/>
      <c r="D33" s="82"/>
      <c r="E33" s="76"/>
      <c r="F33" s="83"/>
      <c r="G33" s="80"/>
    </row>
    <row r="34" spans="1:7" s="92" customFormat="1">
      <c r="A34" s="68"/>
      <c r="B34" s="69" t="s">
        <v>458</v>
      </c>
      <c r="C34" s="70"/>
      <c r="D34" s="89"/>
      <c r="E34" s="90"/>
      <c r="F34" s="71"/>
      <c r="G34" s="91"/>
    </row>
    <row r="35" spans="1:7" s="92" customFormat="1">
      <c r="A35" s="66"/>
      <c r="B35" s="67" t="s">
        <v>15</v>
      </c>
      <c r="C35" s="206"/>
      <c r="D35" s="93"/>
      <c r="E35" s="87"/>
      <c r="F35" s="65"/>
      <c r="G35" s="72">
        <f>SUM(G18:G34)</f>
        <v>0</v>
      </c>
    </row>
    <row r="36" spans="1:7" s="92" customFormat="1">
      <c r="A36" s="277"/>
      <c r="B36" s="278"/>
      <c r="C36" s="279"/>
      <c r="D36" s="91"/>
      <c r="E36" s="90"/>
      <c r="F36" s="280"/>
      <c r="G36" s="91"/>
    </row>
  </sheetData>
  <mergeCells count="9">
    <mergeCell ref="A15:F15"/>
    <mergeCell ref="F4:G4"/>
    <mergeCell ref="A8:G8"/>
    <mergeCell ref="A9:F9"/>
    <mergeCell ref="A10:F10"/>
    <mergeCell ref="A11:F11"/>
    <mergeCell ref="A12:F12"/>
    <mergeCell ref="A13:F13"/>
    <mergeCell ref="A14:F14"/>
  </mergeCells>
  <pageMargins left="0.59055118110236227" right="0.19685039370078741" top="0.59055118110236227" bottom="0.59055118110236227" header="0.19685039370078741" footer="0.19685039370078741"/>
  <pageSetup paperSize="9" scale="91" fitToHeight="0" orientation="portrait" r:id="rId1"/>
  <rowBreaks count="1" manualBreakCount="1">
    <brk id="15"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9.9978637043366805E-2"/>
    <pageSetUpPr fitToPage="1"/>
  </sheetPr>
  <dimension ref="A1:L30"/>
  <sheetViews>
    <sheetView showZeros="0" view="pageBreakPreview" topLeftCell="A25" zoomScaleNormal="100" zoomScaleSheetLayoutView="100" workbookViewId="0">
      <selection activeCell="F26" sqref="F26"/>
    </sheetView>
  </sheetViews>
  <sheetFormatPr defaultRowHeight="15"/>
  <cols>
    <col min="1" max="1" width="5.7109375" style="59" customWidth="1"/>
    <col min="2" max="2" width="45.7109375" style="73" customWidth="1"/>
    <col min="3" max="3" width="6.7109375" style="74" customWidth="1"/>
    <col min="4" max="4" width="10.7109375" style="15" customWidth="1"/>
    <col min="5" max="5" width="2.7109375" style="11" customWidth="1"/>
    <col min="6" max="6" width="15.7109375" style="75" customWidth="1"/>
    <col min="7" max="7" width="15.7109375" style="15" customWidth="1"/>
  </cols>
  <sheetData>
    <row r="1" spans="1:8" s="4" customFormat="1" ht="18">
      <c r="A1" s="273"/>
      <c r="B1" s="274"/>
      <c r="C1" s="274"/>
      <c r="D1" s="274"/>
      <c r="E1" s="274"/>
      <c r="F1" s="274"/>
      <c r="G1" s="275"/>
    </row>
    <row r="2" spans="1:8" s="8" customFormat="1" ht="18">
      <c r="A2" s="5"/>
      <c r="B2" s="6" t="s">
        <v>0</v>
      </c>
      <c r="C2" s="6"/>
      <c r="D2" s="6"/>
      <c r="E2" s="6"/>
      <c r="F2" s="6"/>
      <c r="G2" s="7"/>
    </row>
    <row r="3" spans="1:8" s="4" customFormat="1" ht="18">
      <c r="A3" s="1"/>
      <c r="B3" s="2"/>
      <c r="C3" s="2"/>
      <c r="D3" s="2"/>
      <c r="E3" s="2"/>
      <c r="F3" s="2"/>
      <c r="G3" s="3"/>
    </row>
    <row r="4" spans="1:8" s="12" customFormat="1" ht="60" customHeight="1">
      <c r="A4" s="222"/>
      <c r="B4" s="9" t="s">
        <v>29</v>
      </c>
      <c r="C4" s="10"/>
      <c r="D4" s="223"/>
      <c r="E4" s="11"/>
      <c r="F4" s="969" t="s">
        <v>367</v>
      </c>
      <c r="G4" s="970"/>
    </row>
    <row r="5" spans="1:8" s="12" customFormat="1">
      <c r="A5" s="13"/>
      <c r="B5" s="14"/>
      <c r="C5" s="14"/>
      <c r="D5" s="15"/>
      <c r="E5" s="11"/>
      <c r="G5" s="15"/>
    </row>
    <row r="6" spans="1:8" s="12" customFormat="1">
      <c r="A6" s="16" t="s">
        <v>2</v>
      </c>
      <c r="B6" s="17" t="s">
        <v>3</v>
      </c>
      <c r="C6" s="18" t="s">
        <v>4</v>
      </c>
      <c r="D6" s="19" t="s">
        <v>6</v>
      </c>
      <c r="E6" s="20"/>
      <c r="F6" s="19" t="s">
        <v>5</v>
      </c>
      <c r="G6" s="19" t="s">
        <v>7</v>
      </c>
    </row>
    <row r="7" spans="1:8">
      <c r="A7" s="22"/>
      <c r="B7" s="23"/>
      <c r="C7" s="24"/>
      <c r="D7" s="25"/>
      <c r="E7" s="26"/>
      <c r="F7" s="26"/>
      <c r="G7" s="27"/>
    </row>
    <row r="8" spans="1:8" s="29" customFormat="1">
      <c r="A8" s="971" t="s">
        <v>8</v>
      </c>
      <c r="B8" s="972"/>
      <c r="C8" s="972"/>
      <c r="D8" s="972"/>
      <c r="E8" s="972"/>
      <c r="F8" s="972"/>
      <c r="G8" s="973"/>
      <c r="H8" s="28"/>
    </row>
    <row r="9" spans="1:8" ht="27" customHeight="1">
      <c r="A9" s="967" t="s">
        <v>305</v>
      </c>
      <c r="B9" s="968"/>
      <c r="C9" s="968"/>
      <c r="D9" s="968"/>
      <c r="E9" s="968"/>
      <c r="F9" s="968"/>
      <c r="G9" s="27"/>
    </row>
    <row r="10" spans="1:8" ht="41.25" customHeight="1">
      <c r="A10" s="967" t="s">
        <v>306</v>
      </c>
      <c r="B10" s="968"/>
      <c r="C10" s="968"/>
      <c r="D10" s="968"/>
      <c r="E10" s="968"/>
      <c r="F10" s="968"/>
      <c r="G10" s="27"/>
    </row>
    <row r="11" spans="1:8" ht="30" customHeight="1">
      <c r="A11" s="967" t="s">
        <v>307</v>
      </c>
      <c r="B11" s="968"/>
      <c r="C11" s="968"/>
      <c r="D11" s="968"/>
      <c r="E11" s="968"/>
      <c r="F11" s="968"/>
      <c r="G11" s="27"/>
    </row>
    <row r="12" spans="1:8" ht="38.25" customHeight="1">
      <c r="A12" s="967" t="s">
        <v>308</v>
      </c>
      <c r="B12" s="968"/>
      <c r="C12" s="968"/>
      <c r="D12" s="968"/>
      <c r="E12" s="968"/>
      <c r="F12" s="968"/>
      <c r="G12" s="27"/>
    </row>
    <row r="13" spans="1:8" ht="29.25" customHeight="1">
      <c r="A13" s="967" t="s">
        <v>309</v>
      </c>
      <c r="B13" s="968"/>
      <c r="C13" s="968"/>
      <c r="D13" s="968"/>
      <c r="E13" s="968"/>
      <c r="F13" s="968"/>
      <c r="G13" s="27"/>
    </row>
    <row r="14" spans="1:8">
      <c r="A14" s="965"/>
      <c r="B14" s="966"/>
      <c r="C14" s="966"/>
      <c r="D14" s="966"/>
      <c r="E14" s="966"/>
      <c r="F14" s="966"/>
      <c r="G14" s="27"/>
    </row>
    <row r="15" spans="1:8">
      <c r="A15" s="224"/>
      <c r="B15" s="225"/>
      <c r="C15" s="31"/>
      <c r="D15" s="32"/>
      <c r="E15" s="30"/>
      <c r="F15" s="30"/>
      <c r="G15" s="33"/>
    </row>
    <row r="16" spans="1:8">
      <c r="A16" s="224"/>
      <c r="B16" s="225"/>
      <c r="C16" s="31"/>
      <c r="D16" s="32"/>
      <c r="E16" s="30"/>
      <c r="F16" s="30"/>
      <c r="G16" s="33"/>
    </row>
    <row r="17" spans="1:12">
      <c r="A17" s="34"/>
      <c r="B17" s="35"/>
      <c r="C17" s="36"/>
      <c r="D17" s="36"/>
      <c r="E17" s="37"/>
      <c r="F17" s="36"/>
      <c r="G17" s="38"/>
    </row>
    <row r="18" spans="1:12">
      <c r="A18" s="39"/>
      <c r="B18" s="40"/>
      <c r="C18" s="41"/>
      <c r="D18" s="42"/>
      <c r="F18" s="43"/>
      <c r="G18" s="42"/>
    </row>
    <row r="19" spans="1:12" ht="89.25">
      <c r="A19" s="44" t="s">
        <v>19</v>
      </c>
      <c r="B19" s="45" t="s">
        <v>158</v>
      </c>
      <c r="C19" s="46"/>
      <c r="D19" s="47"/>
      <c r="E19" s="48"/>
      <c r="F19" s="49"/>
      <c r="G19" s="50"/>
    </row>
    <row r="20" spans="1:12">
      <c r="A20" s="51"/>
      <c r="B20" s="52" t="s">
        <v>16</v>
      </c>
      <c r="C20" s="53" t="s">
        <v>10</v>
      </c>
      <c r="D20" s="54">
        <v>3960</v>
      </c>
      <c r="F20" s="55"/>
      <c r="G20" s="56">
        <f>$D20*F20</f>
        <v>0</v>
      </c>
      <c r="H20" s="88"/>
      <c r="I20" s="88"/>
      <c r="J20" s="88"/>
      <c r="K20" s="88"/>
      <c r="L20" s="88"/>
    </row>
    <row r="21" spans="1:12">
      <c r="A21" s="39"/>
      <c r="B21" s="57"/>
      <c r="C21" s="41"/>
      <c r="F21" s="58"/>
    </row>
    <row r="22" spans="1:12" s="77" customFormat="1" ht="114.75">
      <c r="A22" s="13" t="s">
        <v>20</v>
      </c>
      <c r="B22" s="60" t="s">
        <v>17</v>
      </c>
      <c r="C22" s="53"/>
      <c r="D22" s="61"/>
      <c r="E22" s="87"/>
      <c r="F22" s="62"/>
      <c r="G22" s="56"/>
    </row>
    <row r="23" spans="1:12" s="77" customFormat="1">
      <c r="A23" s="63"/>
      <c r="B23" s="64"/>
      <c r="C23" s="53" t="s">
        <v>18</v>
      </c>
      <c r="D23" s="54">
        <v>1</v>
      </c>
      <c r="E23" s="87"/>
      <c r="F23" s="55"/>
      <c r="G23" s="56">
        <f>$D23*F23</f>
        <v>0</v>
      </c>
    </row>
    <row r="24" spans="1:12" s="77" customFormat="1">
      <c r="A24" s="63"/>
      <c r="B24" s="64"/>
      <c r="C24" s="53"/>
      <c r="D24" s="198"/>
      <c r="E24" s="87"/>
      <c r="F24" s="62"/>
      <c r="G24" s="56"/>
    </row>
    <row r="25" spans="1:12" s="77" customFormat="1" ht="54.75" customHeight="1">
      <c r="A25" s="13" t="s">
        <v>27</v>
      </c>
      <c r="B25" s="64" t="s">
        <v>153</v>
      </c>
      <c r="C25" s="53"/>
      <c r="D25" s="198"/>
      <c r="E25" s="87"/>
      <c r="F25" s="62"/>
      <c r="G25" s="56"/>
    </row>
    <row r="26" spans="1:12" s="77" customFormat="1">
      <c r="A26" s="78"/>
      <c r="B26" s="79"/>
      <c r="C26" s="53" t="s">
        <v>18</v>
      </c>
      <c r="D26" s="54">
        <v>1</v>
      </c>
      <c r="E26" s="87"/>
      <c r="F26" s="55"/>
      <c r="G26" s="56">
        <f>$D26*F26</f>
        <v>0</v>
      </c>
    </row>
    <row r="27" spans="1:12" s="77" customFormat="1">
      <c r="A27" s="84"/>
      <c r="B27" s="85"/>
      <c r="C27" s="81"/>
      <c r="D27" s="82"/>
      <c r="E27" s="76"/>
      <c r="F27" s="83"/>
      <c r="G27" s="80"/>
    </row>
    <row r="28" spans="1:12" s="92" customFormat="1">
      <c r="A28" s="68"/>
      <c r="B28" s="69" t="s">
        <v>29</v>
      </c>
      <c r="C28" s="70"/>
      <c r="D28" s="89"/>
      <c r="E28" s="90"/>
      <c r="F28" s="71"/>
      <c r="G28" s="91"/>
    </row>
    <row r="29" spans="1:12" s="92" customFormat="1">
      <c r="A29" s="66"/>
      <c r="B29" s="67" t="s">
        <v>15</v>
      </c>
      <c r="C29" s="206"/>
      <c r="D29" s="93"/>
      <c r="E29" s="87"/>
      <c r="F29" s="65"/>
      <c r="G29" s="72">
        <f>SUM(G19:G28)</f>
        <v>0</v>
      </c>
    </row>
    <row r="30" spans="1:12" s="92" customFormat="1">
      <c r="A30" s="277"/>
      <c r="B30" s="278"/>
      <c r="C30" s="279"/>
      <c r="D30" s="91"/>
      <c r="E30" s="90"/>
      <c r="F30" s="280"/>
      <c r="G30" s="91"/>
    </row>
  </sheetData>
  <mergeCells count="8">
    <mergeCell ref="A14:F14"/>
    <mergeCell ref="A9:F9"/>
    <mergeCell ref="A10:F10"/>
    <mergeCell ref="F4:G4"/>
    <mergeCell ref="A8:G8"/>
    <mergeCell ref="A11:F11"/>
    <mergeCell ref="A12:F12"/>
    <mergeCell ref="A13:F13"/>
  </mergeCells>
  <pageMargins left="0.59055118110236227" right="0.19685039370078741" top="0.59055118110236227" bottom="0.59055118110236227" header="0.19685039370078741" footer="0.19685039370078741"/>
  <pageSetup paperSize="9" scale="91"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249977111117893"/>
    <pageSetUpPr fitToPage="1"/>
  </sheetPr>
  <dimension ref="A1:L70"/>
  <sheetViews>
    <sheetView showZeros="0" view="pageBreakPreview" topLeftCell="A49" zoomScaleNormal="100" zoomScaleSheetLayoutView="100" workbookViewId="0">
      <selection activeCell="B57" sqref="B57"/>
    </sheetView>
  </sheetViews>
  <sheetFormatPr defaultRowHeight="15"/>
  <cols>
    <col min="1" max="1" width="5.7109375" style="235" customWidth="1"/>
    <col min="2" max="2" width="45.7109375" style="73" customWidth="1"/>
    <col min="3" max="3" width="6.7109375" style="248" customWidth="1"/>
    <col min="4" max="4" width="10.7109375" style="15" customWidth="1"/>
    <col min="5" max="5" width="2.7109375" style="11" customWidth="1"/>
    <col min="6" max="6" width="15.7109375" style="75" customWidth="1"/>
    <col min="7" max="7" width="15.7109375" style="251" customWidth="1"/>
    <col min="8" max="16384" width="9.140625" style="186"/>
  </cols>
  <sheetData>
    <row r="1" spans="1:12" s="4" customFormat="1" ht="18">
      <c r="A1" s="293"/>
      <c r="B1" s="274"/>
      <c r="C1" s="295"/>
      <c r="D1" s="274"/>
      <c r="E1" s="274"/>
      <c r="F1" s="274"/>
      <c r="G1" s="296"/>
    </row>
    <row r="2" spans="1:12" s="8" customFormat="1" ht="18">
      <c r="A2" s="230"/>
      <c r="B2" s="6" t="s">
        <v>0</v>
      </c>
      <c r="C2" s="240"/>
      <c r="D2" s="6"/>
      <c r="E2" s="6"/>
      <c r="F2" s="6"/>
      <c r="G2" s="250"/>
    </row>
    <row r="3" spans="1:12" s="4" customFormat="1" ht="18">
      <c r="A3" s="229"/>
      <c r="B3" s="2"/>
      <c r="C3" s="239"/>
      <c r="D3" s="2"/>
      <c r="E3" s="2"/>
      <c r="F3" s="2"/>
      <c r="G3" s="249"/>
    </row>
    <row r="4" spans="1:12" s="12" customFormat="1" ht="60" customHeight="1">
      <c r="A4" s="231"/>
      <c r="B4" s="9" t="s">
        <v>510</v>
      </c>
      <c r="C4" s="241"/>
      <c r="D4" s="223"/>
      <c r="E4" s="11"/>
      <c r="F4" s="969" t="s">
        <v>367</v>
      </c>
      <c r="G4" s="970"/>
    </row>
    <row r="5" spans="1:12" s="12" customFormat="1" ht="15.75">
      <c r="A5" s="13"/>
      <c r="B5" s="14"/>
      <c r="C5" s="242"/>
      <c r="D5" s="15"/>
      <c r="E5" s="11"/>
      <c r="G5" s="251"/>
    </row>
    <row r="6" spans="1:12" s="12" customFormat="1">
      <c r="A6" s="16" t="s">
        <v>2</v>
      </c>
      <c r="B6" s="17" t="s">
        <v>3</v>
      </c>
      <c r="C6" s="243" t="s">
        <v>4</v>
      </c>
      <c r="D6" s="19" t="s">
        <v>6</v>
      </c>
      <c r="E6" s="20"/>
      <c r="F6" s="19" t="s">
        <v>5</v>
      </c>
      <c r="G6" s="252" t="s">
        <v>7</v>
      </c>
    </row>
    <row r="7" spans="1:12">
      <c r="A7" s="232"/>
      <c r="B7" s="23"/>
      <c r="C7" s="24"/>
      <c r="D7" s="25"/>
      <c r="E7" s="26"/>
      <c r="F7" s="26"/>
      <c r="G7" s="253"/>
    </row>
    <row r="8" spans="1:12" s="29" customFormat="1">
      <c r="A8" s="971" t="s">
        <v>8</v>
      </c>
      <c r="B8" s="972"/>
      <c r="C8" s="972"/>
      <c r="D8" s="972"/>
      <c r="E8" s="972"/>
      <c r="F8" s="972"/>
      <c r="G8" s="973"/>
      <c r="H8" s="28"/>
    </row>
    <row r="9" spans="1:12">
      <c r="A9" s="965"/>
      <c r="B9" s="966"/>
      <c r="C9" s="966"/>
      <c r="D9" s="966"/>
      <c r="E9" s="966"/>
      <c r="F9" s="966"/>
      <c r="G9" s="253"/>
    </row>
    <row r="10" spans="1:12" ht="111" customHeight="1">
      <c r="A10" s="967" t="s">
        <v>324</v>
      </c>
      <c r="B10" s="976"/>
      <c r="C10" s="976"/>
      <c r="D10" s="976"/>
      <c r="E10" s="976"/>
      <c r="F10" s="976"/>
      <c r="G10" s="253"/>
    </row>
    <row r="11" spans="1:12">
      <c r="A11" s="233"/>
      <c r="B11" s="225"/>
      <c r="C11" s="31"/>
      <c r="D11" s="32"/>
      <c r="E11" s="30"/>
      <c r="F11" s="30"/>
      <c r="G11" s="254"/>
    </row>
    <row r="12" spans="1:12">
      <c r="A12" s="234"/>
      <c r="B12" s="35" t="s">
        <v>114</v>
      </c>
      <c r="C12" s="244"/>
      <c r="D12" s="36"/>
      <c r="E12" s="37"/>
      <c r="F12" s="36"/>
      <c r="G12" s="255"/>
    </row>
    <row r="13" spans="1:12">
      <c r="A13" s="39"/>
      <c r="B13" s="40"/>
      <c r="C13" s="245"/>
      <c r="D13" s="42"/>
      <c r="F13" s="43"/>
      <c r="G13" s="256"/>
    </row>
    <row r="14" spans="1:12">
      <c r="A14" s="44"/>
      <c r="B14" s="45"/>
      <c r="C14" s="246"/>
      <c r="D14" s="47"/>
      <c r="E14" s="48"/>
      <c r="F14" s="49"/>
      <c r="G14" s="257"/>
    </row>
    <row r="15" spans="1:12" ht="121.5" customHeight="1">
      <c r="A15" s="13" t="s">
        <v>541</v>
      </c>
      <c r="B15" s="362" t="s">
        <v>494</v>
      </c>
      <c r="C15" s="213"/>
      <c r="D15" s="61"/>
      <c r="F15" s="62"/>
      <c r="G15" s="215"/>
    </row>
    <row r="16" spans="1:12">
      <c r="A16" s="108"/>
      <c r="B16" s="52" t="s">
        <v>21</v>
      </c>
      <c r="C16" s="213" t="s">
        <v>14</v>
      </c>
      <c r="D16" s="227">
        <f>660+58.57</f>
        <v>718.57</v>
      </c>
      <c r="F16" s="55"/>
      <c r="G16" s="215">
        <f>$D16*F16</f>
        <v>0</v>
      </c>
      <c r="H16" s="88"/>
      <c r="I16" s="88"/>
      <c r="J16" s="88"/>
      <c r="K16" s="88"/>
      <c r="L16" s="88"/>
    </row>
    <row r="17" spans="1:7">
      <c r="A17" s="109"/>
      <c r="B17" s="57"/>
      <c r="C17" s="245"/>
      <c r="F17" s="58"/>
    </row>
    <row r="18" spans="1:7" s="77" customFormat="1" ht="54" customHeight="1">
      <c r="A18" s="13" t="s">
        <v>542</v>
      </c>
      <c r="B18" s="60" t="s">
        <v>186</v>
      </c>
      <c r="C18" s="213"/>
      <c r="D18" s="61"/>
      <c r="E18" s="87"/>
      <c r="F18" s="62"/>
      <c r="G18" s="215"/>
    </row>
    <row r="19" spans="1:7" s="77" customFormat="1">
      <c r="A19" s="99"/>
      <c r="B19" s="64" t="s">
        <v>121</v>
      </c>
      <c r="C19" s="213" t="s">
        <v>38</v>
      </c>
      <c r="D19" s="227">
        <v>24.19</v>
      </c>
      <c r="E19" s="87"/>
      <c r="F19" s="55"/>
      <c r="G19" s="215">
        <f>$D19*F19</f>
        <v>0</v>
      </c>
    </row>
    <row r="20" spans="1:7">
      <c r="A20" s="109"/>
      <c r="B20" s="57"/>
      <c r="C20" s="245"/>
      <c r="F20" s="58"/>
    </row>
    <row r="21" spans="1:7" s="77" customFormat="1" ht="53.25" customHeight="1">
      <c r="A21" s="13" t="s">
        <v>543</v>
      </c>
      <c r="B21" s="60" t="s">
        <v>257</v>
      </c>
      <c r="C21" s="213"/>
      <c r="D21" s="61"/>
      <c r="E21" s="87"/>
      <c r="F21" s="62"/>
      <c r="G21" s="215"/>
    </row>
    <row r="22" spans="1:7" s="77" customFormat="1" ht="16.5" customHeight="1">
      <c r="A22" s="99"/>
      <c r="B22" s="64" t="s">
        <v>115</v>
      </c>
      <c r="C22" s="213" t="s">
        <v>26</v>
      </c>
      <c r="D22" s="227">
        <f>241.6*0.5*0.5</f>
        <v>60.4</v>
      </c>
      <c r="E22" s="87"/>
      <c r="F22" s="55"/>
      <c r="G22" s="215">
        <f>$D22*F22</f>
        <v>0</v>
      </c>
    </row>
    <row r="23" spans="1:7">
      <c r="A23" s="109"/>
      <c r="B23" s="57"/>
      <c r="C23" s="245"/>
      <c r="F23" s="58"/>
    </row>
    <row r="24" spans="1:7" s="77" customFormat="1" ht="54.75" customHeight="1">
      <c r="A24" s="13" t="s">
        <v>544</v>
      </c>
      <c r="B24" s="60" t="s">
        <v>501</v>
      </c>
      <c r="C24" s="213"/>
      <c r="D24" s="61"/>
      <c r="E24" s="87"/>
      <c r="F24" s="62"/>
      <c r="G24" s="215"/>
    </row>
    <row r="25" spans="1:7" s="77" customFormat="1" ht="16.5" customHeight="1">
      <c r="A25" s="99"/>
      <c r="B25" s="64" t="s">
        <v>116</v>
      </c>
      <c r="C25" s="213" t="s">
        <v>26</v>
      </c>
      <c r="D25" s="227">
        <f>(372.6+380)*0.3</f>
        <v>225.78</v>
      </c>
      <c r="E25" s="87"/>
      <c r="F25" s="55"/>
      <c r="G25" s="215">
        <f>$D25*F25</f>
        <v>0</v>
      </c>
    </row>
    <row r="26" spans="1:7">
      <c r="A26" s="109"/>
      <c r="B26" s="57"/>
      <c r="C26" s="245"/>
      <c r="F26" s="58"/>
    </row>
    <row r="27" spans="1:7" s="77" customFormat="1" ht="69.75" customHeight="1">
      <c r="A27" s="13" t="s">
        <v>545</v>
      </c>
      <c r="B27" s="60" t="s">
        <v>514</v>
      </c>
      <c r="C27" s="213"/>
      <c r="D27" s="61"/>
      <c r="E27" s="87"/>
      <c r="F27" s="62"/>
      <c r="G27" s="215"/>
    </row>
    <row r="28" spans="1:7" s="77" customFormat="1" ht="16.5" customHeight="1">
      <c r="A28" s="99"/>
      <c r="B28" s="64" t="s">
        <v>515</v>
      </c>
      <c r="C28" s="213" t="s">
        <v>22</v>
      </c>
      <c r="D28" s="227">
        <v>500</v>
      </c>
      <c r="E28" s="87"/>
      <c r="F28" s="55"/>
      <c r="G28" s="215">
        <f>$D28*F28</f>
        <v>0</v>
      </c>
    </row>
    <row r="29" spans="1:7">
      <c r="A29" s="233"/>
      <c r="B29" s="225"/>
      <c r="C29" s="31"/>
      <c r="D29" s="200"/>
      <c r="E29" s="87"/>
      <c r="F29" s="30"/>
      <c r="G29" s="254"/>
    </row>
    <row r="30" spans="1:7">
      <c r="A30" s="234"/>
      <c r="B30" s="35" t="s">
        <v>117</v>
      </c>
      <c r="C30" s="244"/>
      <c r="D30" s="36"/>
      <c r="E30" s="37"/>
      <c r="F30" s="36"/>
      <c r="G30" s="255"/>
    </row>
    <row r="31" spans="1:7">
      <c r="A31" s="109"/>
      <c r="B31" s="57"/>
      <c r="C31" s="245"/>
      <c r="F31" s="58"/>
    </row>
    <row r="32" spans="1:7" ht="63.75">
      <c r="A32" s="13" t="s">
        <v>546</v>
      </c>
      <c r="B32" s="60" t="s">
        <v>532</v>
      </c>
      <c r="C32" s="245"/>
      <c r="F32" s="58"/>
    </row>
    <row r="33" spans="1:7">
      <c r="A33" s="13"/>
      <c r="B33" s="375" t="s">
        <v>533</v>
      </c>
      <c r="C33" s="245" t="s">
        <v>42</v>
      </c>
      <c r="D33" s="227">
        <v>37</v>
      </c>
      <c r="F33" s="55"/>
      <c r="G33" s="215">
        <f>$D33*F33</f>
        <v>0</v>
      </c>
    </row>
    <row r="34" spans="1:7" ht="12.95" customHeight="1">
      <c r="A34" s="109"/>
      <c r="B34" s="57"/>
      <c r="C34" s="245"/>
      <c r="F34" s="58"/>
    </row>
    <row r="35" spans="1:7" s="77" customFormat="1" ht="66" customHeight="1">
      <c r="A35" s="13" t="s">
        <v>547</v>
      </c>
      <c r="B35" s="60" t="s">
        <v>495</v>
      </c>
      <c r="C35" s="213"/>
      <c r="D35" s="61"/>
      <c r="E35" s="87"/>
      <c r="F35" s="62"/>
      <c r="G35" s="215"/>
    </row>
    <row r="36" spans="1:7" s="77" customFormat="1" ht="16.5" customHeight="1">
      <c r="A36" s="99" t="s">
        <v>190</v>
      </c>
      <c r="B36" s="64" t="s">
        <v>118</v>
      </c>
      <c r="C36" s="213" t="s">
        <v>26</v>
      </c>
      <c r="D36" s="227">
        <f>150*0.4*0.4</f>
        <v>24</v>
      </c>
      <c r="E36" s="87"/>
      <c r="F36" s="55"/>
      <c r="G36" s="215">
        <f>$D36*F36</f>
        <v>0</v>
      </c>
    </row>
    <row r="37" spans="1:7">
      <c r="A37" s="99" t="s">
        <v>191</v>
      </c>
      <c r="B37" s="64" t="s">
        <v>30</v>
      </c>
      <c r="C37" s="213" t="s">
        <v>22</v>
      </c>
      <c r="D37" s="227">
        <f>241*0.8</f>
        <v>192.8</v>
      </c>
      <c r="F37" s="55"/>
      <c r="G37" s="215">
        <f>$D37*F37</f>
        <v>0</v>
      </c>
    </row>
    <row r="38" spans="1:7">
      <c r="A38" s="99" t="s">
        <v>192</v>
      </c>
      <c r="B38" s="64" t="s">
        <v>497</v>
      </c>
      <c r="C38" s="213" t="s">
        <v>242</v>
      </c>
      <c r="D38" s="227">
        <f>D36*85</f>
        <v>2040</v>
      </c>
      <c r="F38" s="55"/>
      <c r="G38" s="215">
        <f>$D38*F38</f>
        <v>0</v>
      </c>
    </row>
    <row r="39" spans="1:7" ht="12.95" customHeight="1">
      <c r="A39" s="109"/>
      <c r="B39" s="57"/>
      <c r="C39" s="245"/>
      <c r="F39" s="58"/>
    </row>
    <row r="40" spans="1:7" s="77" customFormat="1" ht="57" customHeight="1">
      <c r="A40" s="13" t="s">
        <v>548</v>
      </c>
      <c r="B40" s="60" t="s">
        <v>496</v>
      </c>
      <c r="C40" s="213"/>
      <c r="D40" s="61"/>
      <c r="E40" s="87"/>
      <c r="F40" s="62"/>
      <c r="G40" s="215"/>
    </row>
    <row r="41" spans="1:7" s="77" customFormat="1" ht="16.5" customHeight="1">
      <c r="A41" s="99" t="s">
        <v>190</v>
      </c>
      <c r="B41" s="64" t="s">
        <v>118</v>
      </c>
      <c r="C41" s="213" t="s">
        <v>26</v>
      </c>
      <c r="D41" s="227">
        <f>150*0.25*1</f>
        <v>37.5</v>
      </c>
      <c r="E41" s="87"/>
      <c r="F41" s="55"/>
      <c r="G41" s="215">
        <f>$D41*F41</f>
        <v>0</v>
      </c>
    </row>
    <row r="42" spans="1:7">
      <c r="A42" s="99" t="s">
        <v>191</v>
      </c>
      <c r="B42" s="64" t="s">
        <v>30</v>
      </c>
      <c r="C42" s="213" t="s">
        <v>22</v>
      </c>
      <c r="D42" s="227">
        <f>150*2</f>
        <v>300</v>
      </c>
      <c r="F42" s="55"/>
      <c r="G42" s="215">
        <f>$D42*F42</f>
        <v>0</v>
      </c>
    </row>
    <row r="43" spans="1:7">
      <c r="A43" s="99" t="s">
        <v>192</v>
      </c>
      <c r="B43" s="64" t="s">
        <v>497</v>
      </c>
      <c r="C43" s="213" t="s">
        <v>242</v>
      </c>
      <c r="D43" s="227">
        <f>D41*85</f>
        <v>3187.5</v>
      </c>
      <c r="F43" s="55"/>
      <c r="G43" s="215">
        <f>$D43*F43</f>
        <v>0</v>
      </c>
    </row>
    <row r="44" spans="1:7" ht="12.95" customHeight="1">
      <c r="A44" s="109"/>
      <c r="B44" s="57"/>
      <c r="C44" s="245"/>
      <c r="F44" s="58"/>
    </row>
    <row r="45" spans="1:7" s="77" customFormat="1" ht="40.5" customHeight="1">
      <c r="A45" s="13" t="s">
        <v>549</v>
      </c>
      <c r="B45" s="60" t="s">
        <v>511</v>
      </c>
      <c r="C45" s="213"/>
      <c r="D45" s="61"/>
      <c r="E45" s="87"/>
      <c r="F45" s="62"/>
      <c r="G45" s="215"/>
    </row>
    <row r="46" spans="1:7" s="77" customFormat="1" ht="16.5" customHeight="1">
      <c r="A46" s="99" t="s">
        <v>190</v>
      </c>
      <c r="B46" s="64" t="s">
        <v>118</v>
      </c>
      <c r="C46" s="213" t="s">
        <v>26</v>
      </c>
      <c r="D46" s="227">
        <f>166.4*0.15</f>
        <v>24.96</v>
      </c>
      <c r="E46" s="87"/>
      <c r="F46" s="55"/>
      <c r="G46" s="215">
        <f>$D46*F46</f>
        <v>0</v>
      </c>
    </row>
    <row r="47" spans="1:7">
      <c r="A47" s="99" t="s">
        <v>191</v>
      </c>
      <c r="B47" s="64" t="s">
        <v>30</v>
      </c>
      <c r="C47" s="213" t="s">
        <v>22</v>
      </c>
      <c r="D47" s="227">
        <f>31.36+12*1</f>
        <v>43.36</v>
      </c>
      <c r="F47" s="55"/>
      <c r="G47" s="215">
        <f>$D47*F47</f>
        <v>0</v>
      </c>
    </row>
    <row r="48" spans="1:7">
      <c r="A48" s="99" t="s">
        <v>192</v>
      </c>
      <c r="B48" s="64" t="s">
        <v>497</v>
      </c>
      <c r="C48" s="213" t="s">
        <v>242</v>
      </c>
      <c r="D48" s="227">
        <f>D46*80</f>
        <v>1996.8000000000002</v>
      </c>
      <c r="F48" s="55"/>
      <c r="G48" s="215">
        <f>$D48*F48</f>
        <v>0</v>
      </c>
    </row>
    <row r="49" spans="1:7" ht="12.95" customHeight="1">
      <c r="A49" s="109"/>
      <c r="B49" s="57"/>
      <c r="C49" s="245"/>
      <c r="F49" s="58"/>
    </row>
    <row r="50" spans="1:7" s="77" customFormat="1" ht="156" customHeight="1">
      <c r="A50" s="13" t="s">
        <v>550</v>
      </c>
      <c r="B50" s="60" t="s">
        <v>498</v>
      </c>
      <c r="C50" s="213"/>
      <c r="D50" s="61"/>
      <c r="E50" s="87"/>
      <c r="F50" s="62"/>
      <c r="G50" s="215"/>
    </row>
    <row r="51" spans="1:7" s="77" customFormat="1" ht="16.5" customHeight="1">
      <c r="A51" s="99" t="s">
        <v>190</v>
      </c>
      <c r="B51" s="64" t="s">
        <v>499</v>
      </c>
      <c r="C51" s="213" t="s">
        <v>38</v>
      </c>
      <c r="D51" s="227">
        <v>120</v>
      </c>
      <c r="E51" s="87"/>
      <c r="F51" s="55"/>
      <c r="G51" s="215">
        <f>$D51*F51</f>
        <v>0</v>
      </c>
    </row>
    <row r="52" spans="1:7" s="77" customFormat="1" ht="16.5" customHeight="1">
      <c r="A52" s="99" t="s">
        <v>191</v>
      </c>
      <c r="B52" s="64" t="s">
        <v>500</v>
      </c>
      <c r="C52" s="213" t="s">
        <v>38</v>
      </c>
      <c r="D52" s="227">
        <v>40</v>
      </c>
      <c r="E52" s="87"/>
      <c r="F52" s="55"/>
      <c r="G52" s="215">
        <f>$D52*F52</f>
        <v>0</v>
      </c>
    </row>
    <row r="53" spans="1:7" s="77" customFormat="1" ht="12.95" customHeight="1">
      <c r="A53" s="99"/>
      <c r="B53" s="64"/>
      <c r="C53" s="213"/>
      <c r="D53" s="198"/>
      <c r="E53" s="87"/>
      <c r="F53" s="62"/>
      <c r="G53" s="215"/>
    </row>
    <row r="54" spans="1:7" s="77" customFormat="1" ht="146.25" customHeight="1">
      <c r="A54" s="13" t="s">
        <v>551</v>
      </c>
      <c r="B54" s="64" t="s">
        <v>1554</v>
      </c>
      <c r="C54" s="213"/>
      <c r="D54" s="198"/>
      <c r="E54" s="87"/>
      <c r="F54" s="62"/>
      <c r="G54" s="215"/>
    </row>
    <row r="55" spans="1:7" s="77" customFormat="1" ht="16.5" customHeight="1">
      <c r="A55" s="99"/>
      <c r="B55" s="64" t="s">
        <v>504</v>
      </c>
      <c r="C55" s="213" t="s">
        <v>22</v>
      </c>
      <c r="D55" s="227">
        <f>166.4</f>
        <v>166.4</v>
      </c>
      <c r="E55" s="87"/>
      <c r="F55" s="55"/>
      <c r="G55" s="215">
        <f>F55*D55</f>
        <v>0</v>
      </c>
    </row>
    <row r="56" spans="1:7" s="77" customFormat="1" ht="12.95" customHeight="1">
      <c r="A56" s="99"/>
      <c r="B56" s="64"/>
      <c r="C56" s="213"/>
      <c r="D56" s="198"/>
      <c r="E56" s="87"/>
      <c r="F56" s="62"/>
      <c r="G56" s="215"/>
    </row>
    <row r="57" spans="1:7" s="77" customFormat="1" ht="144" customHeight="1">
      <c r="A57" s="13" t="s">
        <v>552</v>
      </c>
      <c r="B57" s="64" t="s">
        <v>1555</v>
      </c>
      <c r="C57" s="213"/>
      <c r="D57" s="198"/>
      <c r="E57" s="87"/>
      <c r="F57" s="62"/>
      <c r="G57" s="215"/>
    </row>
    <row r="58" spans="1:7" s="77" customFormat="1" ht="16.5" customHeight="1">
      <c r="A58" s="99"/>
      <c r="B58" s="64" t="s">
        <v>503</v>
      </c>
      <c r="C58" s="213" t="s">
        <v>22</v>
      </c>
      <c r="D58" s="227">
        <v>250</v>
      </c>
      <c r="E58" s="87"/>
      <c r="F58" s="55"/>
      <c r="G58" s="215">
        <f>F58*D58</f>
        <v>0</v>
      </c>
    </row>
    <row r="59" spans="1:7">
      <c r="A59" s="233"/>
      <c r="B59" s="225"/>
      <c r="C59" s="31"/>
      <c r="D59" s="200"/>
      <c r="E59" s="87"/>
      <c r="F59" s="30"/>
      <c r="G59" s="254"/>
    </row>
    <row r="60" spans="1:7">
      <c r="A60" s="234"/>
      <c r="B60" s="35" t="s">
        <v>120</v>
      </c>
      <c r="C60" s="244"/>
      <c r="D60" s="36"/>
      <c r="E60" s="37"/>
      <c r="F60" s="36"/>
      <c r="G60" s="255"/>
    </row>
    <row r="61" spans="1:7">
      <c r="A61" s="109"/>
      <c r="B61" s="57"/>
      <c r="C61" s="245"/>
      <c r="F61" s="58"/>
    </row>
    <row r="62" spans="1:7" s="77" customFormat="1" ht="144" customHeight="1">
      <c r="A62" s="13" t="s">
        <v>553</v>
      </c>
      <c r="B62" s="60" t="s">
        <v>187</v>
      </c>
      <c r="C62" s="213"/>
      <c r="D62" s="61"/>
      <c r="E62" s="87"/>
      <c r="F62" s="62"/>
      <c r="G62" s="215"/>
    </row>
    <row r="63" spans="1:7" s="77" customFormat="1" ht="16.5" customHeight="1">
      <c r="A63" s="99"/>
      <c r="B63" s="64" t="s">
        <v>119</v>
      </c>
      <c r="C63" s="213" t="s">
        <v>22</v>
      </c>
      <c r="D63" s="227">
        <v>718.57</v>
      </c>
      <c r="E63" s="87"/>
      <c r="F63" s="55"/>
      <c r="G63" s="215">
        <f>$D63*F63</f>
        <v>0</v>
      </c>
    </row>
    <row r="64" spans="1:7" ht="12.95" customHeight="1">
      <c r="A64" s="109"/>
      <c r="B64" s="57"/>
      <c r="C64" s="245"/>
      <c r="F64" s="58"/>
    </row>
    <row r="65" spans="1:7" s="77" customFormat="1" ht="128.25" customHeight="1">
      <c r="A65" s="13" t="s">
        <v>554</v>
      </c>
      <c r="B65" s="60" t="s">
        <v>188</v>
      </c>
      <c r="C65" s="213"/>
      <c r="D65" s="61"/>
      <c r="E65" s="87"/>
      <c r="F65" s="62"/>
      <c r="G65" s="215"/>
    </row>
    <row r="66" spans="1:7" s="77" customFormat="1" ht="16.5" customHeight="1">
      <c r="A66" s="99"/>
      <c r="B66" s="64" t="s">
        <v>119</v>
      </c>
      <c r="C66" s="213" t="s">
        <v>22</v>
      </c>
      <c r="D66" s="227">
        <v>718.57</v>
      </c>
      <c r="E66" s="87"/>
      <c r="F66" s="55"/>
      <c r="G66" s="215">
        <f>$D66*F66</f>
        <v>0</v>
      </c>
    </row>
    <row r="67" spans="1:7" ht="12.95" customHeight="1">
      <c r="A67" s="233"/>
      <c r="B67" s="225"/>
      <c r="C67" s="31"/>
      <c r="D67" s="200"/>
      <c r="E67" s="87"/>
      <c r="F67" s="30"/>
      <c r="G67" s="254"/>
    </row>
    <row r="68" spans="1:7" s="92" customFormat="1">
      <c r="A68" s="68"/>
      <c r="B68" s="69" t="s">
        <v>510</v>
      </c>
      <c r="C68" s="247"/>
      <c r="D68" s="89"/>
      <c r="E68" s="90"/>
      <c r="F68" s="71"/>
      <c r="G68" s="258"/>
    </row>
    <row r="69" spans="1:7" s="92" customFormat="1">
      <c r="A69" s="66"/>
      <c r="B69" s="67" t="s">
        <v>15</v>
      </c>
      <c r="C69" s="297"/>
      <c r="D69" s="93"/>
      <c r="E69" s="87"/>
      <c r="F69" s="65"/>
      <c r="G69" s="259">
        <f>SUM(G14:G68)</f>
        <v>0</v>
      </c>
    </row>
    <row r="70" spans="1:7" s="92" customFormat="1">
      <c r="A70" s="294"/>
      <c r="B70" s="278"/>
      <c r="C70" s="298"/>
      <c r="D70" s="91"/>
      <c r="E70" s="90"/>
      <c r="F70" s="280"/>
      <c r="G70" s="258"/>
    </row>
  </sheetData>
  <mergeCells count="4">
    <mergeCell ref="F4:G4"/>
    <mergeCell ref="A8:G8"/>
    <mergeCell ref="A9:F9"/>
    <mergeCell ref="A10:F10"/>
  </mergeCells>
  <pageMargins left="0.59055118110236227" right="0.19685039370078741" top="0.59055118110236227" bottom="0.59055118110236227" header="0.19685039370078741" footer="0.19685039370078741"/>
  <pageSetup paperSize="9" scale="91" fitToHeight="0" orientation="portrait" r:id="rId1"/>
  <rowBreaks count="1" manualBreakCount="1">
    <brk id="53" max="6" man="1"/>
  </rowBreaks>
  <ignoredErrors>
    <ignoredError sqref="D55 D25"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H34"/>
  <sheetViews>
    <sheetView showZeros="0" view="pageBreakPreview" topLeftCell="A12" zoomScaleNormal="100" zoomScaleSheetLayoutView="100" workbookViewId="0">
      <selection activeCell="F19" sqref="F19:F29"/>
    </sheetView>
  </sheetViews>
  <sheetFormatPr defaultRowHeight="15"/>
  <cols>
    <col min="1" max="1" width="5.7109375" style="59" customWidth="1"/>
    <col min="2" max="2" width="45.7109375" style="73" customWidth="1"/>
    <col min="3" max="3" width="6.7109375" style="74" customWidth="1"/>
    <col min="4" max="4" width="10.7109375" style="15" customWidth="1"/>
    <col min="5" max="5" width="2.7109375" style="11" customWidth="1"/>
    <col min="6" max="6" width="15.7109375" style="75" customWidth="1"/>
    <col min="7" max="7" width="15.7109375" style="15" customWidth="1"/>
    <col min="8" max="16384" width="9.140625" style="186"/>
  </cols>
  <sheetData>
    <row r="1" spans="1:8" s="4" customFormat="1" ht="18">
      <c r="A1" s="273"/>
      <c r="B1" s="274"/>
      <c r="C1" s="274"/>
      <c r="D1" s="274"/>
      <c r="E1" s="274"/>
      <c r="F1" s="274"/>
      <c r="G1" s="275"/>
    </row>
    <row r="2" spans="1:8" s="8" customFormat="1" ht="18">
      <c r="A2" s="5"/>
      <c r="B2" s="6" t="s">
        <v>0</v>
      </c>
      <c r="C2" s="6"/>
      <c r="D2" s="6"/>
      <c r="E2" s="6"/>
      <c r="F2" s="6"/>
      <c r="G2" s="7"/>
    </row>
    <row r="3" spans="1:8" s="4" customFormat="1" ht="18">
      <c r="A3" s="1"/>
      <c r="B3" s="2"/>
      <c r="C3" s="2"/>
      <c r="D3" s="2"/>
      <c r="E3" s="2"/>
      <c r="F3" s="2"/>
      <c r="G3" s="3"/>
    </row>
    <row r="4" spans="1:8" s="12" customFormat="1" ht="60" customHeight="1">
      <c r="A4" s="222"/>
      <c r="B4" s="9" t="s">
        <v>555</v>
      </c>
      <c r="C4" s="10"/>
      <c r="D4" s="223"/>
      <c r="E4" s="11"/>
      <c r="F4" s="969" t="s">
        <v>367</v>
      </c>
      <c r="G4" s="970"/>
    </row>
    <row r="5" spans="1:8" s="12" customFormat="1">
      <c r="A5" s="13"/>
      <c r="B5" s="14"/>
      <c r="C5" s="14"/>
      <c r="D5" s="15"/>
      <c r="E5" s="11"/>
      <c r="G5" s="15"/>
    </row>
    <row r="6" spans="1:8" s="12" customFormat="1">
      <c r="A6" s="16" t="s">
        <v>2</v>
      </c>
      <c r="B6" s="17" t="s">
        <v>3</v>
      </c>
      <c r="C6" s="18" t="s">
        <v>4</v>
      </c>
      <c r="D6" s="19" t="s">
        <v>6</v>
      </c>
      <c r="E6" s="20"/>
      <c r="F6" s="19" t="s">
        <v>5</v>
      </c>
      <c r="G6" s="19" t="s">
        <v>7</v>
      </c>
    </row>
    <row r="7" spans="1:8">
      <c r="A7" s="22"/>
      <c r="B7" s="23"/>
      <c r="C7" s="24"/>
      <c r="D7" s="25"/>
      <c r="E7" s="26"/>
      <c r="F7" s="26"/>
      <c r="G7" s="27"/>
    </row>
    <row r="8" spans="1:8" s="29" customFormat="1">
      <c r="A8" s="971" t="s">
        <v>8</v>
      </c>
      <c r="B8" s="972"/>
      <c r="C8" s="972"/>
      <c r="D8" s="972"/>
      <c r="E8" s="972"/>
      <c r="F8" s="972"/>
      <c r="G8" s="973"/>
      <c r="H8" s="28"/>
    </row>
    <row r="9" spans="1:8">
      <c r="A9" s="965"/>
      <c r="B9" s="966"/>
      <c r="C9" s="966"/>
      <c r="D9" s="966"/>
      <c r="E9" s="966"/>
      <c r="F9" s="966"/>
      <c r="G9" s="27"/>
    </row>
    <row r="10" spans="1:8" ht="40.5" customHeight="1">
      <c r="A10" s="967" t="s">
        <v>147</v>
      </c>
      <c r="B10" s="976"/>
      <c r="C10" s="976"/>
      <c r="D10" s="976"/>
      <c r="E10" s="976"/>
      <c r="F10" s="976"/>
      <c r="G10" s="27"/>
    </row>
    <row r="11" spans="1:8" ht="51.75" customHeight="1">
      <c r="A11" s="967" t="s">
        <v>189</v>
      </c>
      <c r="B11" s="976"/>
      <c r="C11" s="976"/>
      <c r="D11" s="976"/>
      <c r="E11" s="976"/>
      <c r="F11" s="976"/>
      <c r="G11" s="27"/>
    </row>
    <row r="12" spans="1:8" ht="14.25" customHeight="1">
      <c r="A12" s="967" t="s">
        <v>148</v>
      </c>
      <c r="B12" s="976"/>
      <c r="C12" s="976"/>
      <c r="D12" s="976"/>
      <c r="E12" s="976"/>
      <c r="F12" s="976"/>
      <c r="G12" s="27"/>
    </row>
    <row r="13" spans="1:8">
      <c r="A13" s="224"/>
      <c r="B13" s="225"/>
      <c r="C13" s="31"/>
      <c r="D13" s="32"/>
      <c r="E13" s="30"/>
      <c r="F13" s="30"/>
      <c r="G13" s="33"/>
    </row>
    <row r="14" spans="1:8">
      <c r="A14" s="224"/>
      <c r="B14" s="225"/>
      <c r="C14" s="31"/>
      <c r="D14" s="32"/>
      <c r="E14" s="30"/>
      <c r="F14" s="30"/>
      <c r="G14" s="33"/>
    </row>
    <row r="15" spans="1:8">
      <c r="A15" s="34"/>
      <c r="B15" s="35" t="s">
        <v>516</v>
      </c>
      <c r="C15" s="36"/>
      <c r="D15" s="36"/>
      <c r="E15" s="37"/>
      <c r="F15" s="36"/>
      <c r="G15" s="38"/>
    </row>
    <row r="16" spans="1:8" s="77" customFormat="1">
      <c r="A16" s="363"/>
      <c r="B16" s="364"/>
      <c r="C16" s="365"/>
      <c r="D16" s="366"/>
      <c r="E16" s="90"/>
      <c r="F16" s="367"/>
      <c r="G16" s="368"/>
    </row>
    <row r="17" spans="1:7" s="77" customFormat="1">
      <c r="A17" s="99"/>
      <c r="B17" s="180"/>
      <c r="C17" s="53"/>
      <c r="D17" s="198"/>
      <c r="E17" s="87"/>
      <c r="F17" s="62"/>
      <c r="G17" s="56"/>
    </row>
    <row r="18" spans="1:7" s="77" customFormat="1" ht="141.75" customHeight="1">
      <c r="A18" s="86" t="s">
        <v>252</v>
      </c>
      <c r="B18" s="371" t="s">
        <v>517</v>
      </c>
      <c r="C18" s="53"/>
      <c r="D18" s="198"/>
      <c r="E18" s="87"/>
      <c r="F18" s="62"/>
      <c r="G18" s="56"/>
    </row>
    <row r="19" spans="1:7" s="77" customFormat="1">
      <c r="A19" s="99"/>
      <c r="B19" s="60" t="s">
        <v>518</v>
      </c>
      <c r="C19" s="53" t="s">
        <v>42</v>
      </c>
      <c r="D19" s="54">
        <v>3</v>
      </c>
      <c r="E19" s="87"/>
      <c r="F19" s="55"/>
      <c r="G19" s="56">
        <f>$D19*F19</f>
        <v>0</v>
      </c>
    </row>
    <row r="20" spans="1:7" s="77" customFormat="1">
      <c r="A20" s="99"/>
      <c r="B20" s="180"/>
      <c r="C20" s="53"/>
      <c r="D20" s="198"/>
      <c r="E20" s="87"/>
      <c r="F20" s="62"/>
      <c r="G20" s="56">
        <f>$D20*F20</f>
        <v>0</v>
      </c>
    </row>
    <row r="21" spans="1:7" s="77" customFormat="1" ht="117.75" customHeight="1">
      <c r="A21" s="372" t="s">
        <v>253</v>
      </c>
      <c r="B21" s="180" t="s">
        <v>520</v>
      </c>
      <c r="C21" s="53"/>
      <c r="D21" s="198"/>
      <c r="E21" s="87"/>
      <c r="F21" s="62"/>
      <c r="G21" s="56"/>
    </row>
    <row r="22" spans="1:7" s="77" customFormat="1" ht="15" customHeight="1">
      <c r="A22" s="372"/>
      <c r="B22" s="373" t="s">
        <v>519</v>
      </c>
      <c r="C22" s="53" t="s">
        <v>42</v>
      </c>
      <c r="D22" s="54">
        <v>3</v>
      </c>
      <c r="E22" s="87"/>
      <c r="F22" s="55"/>
      <c r="G22" s="56">
        <f>F22*D22</f>
        <v>0</v>
      </c>
    </row>
    <row r="23" spans="1:7" s="77" customFormat="1" ht="15" customHeight="1">
      <c r="A23" s="372"/>
      <c r="B23" s="180"/>
      <c r="C23" s="53"/>
      <c r="D23" s="198"/>
      <c r="E23" s="87"/>
      <c r="F23" s="62"/>
      <c r="G23" s="56"/>
    </row>
    <row r="24" spans="1:7" s="77" customFormat="1" ht="92.25" customHeight="1">
      <c r="A24" s="372" t="s">
        <v>254</v>
      </c>
      <c r="B24" s="180" t="s">
        <v>521</v>
      </c>
      <c r="C24" s="53"/>
      <c r="D24" s="198"/>
      <c r="E24" s="87"/>
      <c r="F24" s="62"/>
      <c r="G24" s="56"/>
    </row>
    <row r="25" spans="1:7" s="77" customFormat="1" ht="15" customHeight="1">
      <c r="A25" s="372"/>
      <c r="B25" s="373" t="s">
        <v>522</v>
      </c>
      <c r="C25" s="53" t="s">
        <v>42</v>
      </c>
      <c r="D25" s="54">
        <v>1</v>
      </c>
      <c r="E25" s="87"/>
      <c r="F25" s="55"/>
      <c r="G25" s="56">
        <f>F25*D25</f>
        <v>0</v>
      </c>
    </row>
    <row r="26" spans="1:7" s="77" customFormat="1" ht="15" customHeight="1">
      <c r="A26" s="372"/>
      <c r="B26" s="180"/>
      <c r="C26" s="53"/>
      <c r="D26" s="198"/>
      <c r="E26" s="87"/>
      <c r="F26" s="62"/>
      <c r="G26" s="56"/>
    </row>
    <row r="27" spans="1:7" s="77" customFormat="1" ht="153">
      <c r="A27" s="372" t="s">
        <v>255</v>
      </c>
      <c r="B27" s="374" t="s">
        <v>534</v>
      </c>
      <c r="C27" s="53"/>
      <c r="D27" s="198"/>
      <c r="E27" s="87"/>
      <c r="F27" s="62"/>
      <c r="G27" s="56"/>
    </row>
    <row r="28" spans="1:7" s="77" customFormat="1">
      <c r="A28" s="372"/>
      <c r="B28" s="374" t="s">
        <v>523</v>
      </c>
      <c r="C28" s="53" t="s">
        <v>56</v>
      </c>
      <c r="D28" s="54">
        <v>150</v>
      </c>
      <c r="E28" s="87"/>
      <c r="F28" s="55"/>
      <c r="G28" s="56">
        <f>F28*D28</f>
        <v>0</v>
      </c>
    </row>
    <row r="29" spans="1:7" s="77" customFormat="1">
      <c r="A29" s="84"/>
      <c r="B29" s="85"/>
      <c r="C29" s="81"/>
      <c r="D29" s="82"/>
      <c r="E29" s="76"/>
      <c r="F29" s="83"/>
      <c r="G29" s="80"/>
    </row>
    <row r="30" spans="1:7" s="92" customFormat="1">
      <c r="A30" s="68"/>
      <c r="B30" s="69" t="s">
        <v>555</v>
      </c>
      <c r="C30" s="70"/>
      <c r="D30" s="89"/>
      <c r="E30" s="90"/>
      <c r="F30" s="71"/>
      <c r="G30" s="91"/>
    </row>
    <row r="31" spans="1:7" s="92" customFormat="1">
      <c r="A31" s="66"/>
      <c r="B31" s="67" t="s">
        <v>15</v>
      </c>
      <c r="C31" s="206"/>
      <c r="D31" s="93"/>
      <c r="E31" s="87"/>
      <c r="F31" s="65"/>
      <c r="G31" s="72">
        <f>SUM(G16:G30)</f>
        <v>0</v>
      </c>
    </row>
    <row r="32" spans="1:7" s="92" customFormat="1">
      <c r="A32" s="277"/>
      <c r="B32" s="278"/>
      <c r="C32" s="279"/>
      <c r="D32" s="91"/>
      <c r="E32" s="90"/>
      <c r="F32" s="280"/>
      <c r="G32" s="91"/>
    </row>
    <row r="34" spans="2:2">
      <c r="B34" s="209"/>
    </row>
  </sheetData>
  <mergeCells count="6">
    <mergeCell ref="A12:F12"/>
    <mergeCell ref="F4:G4"/>
    <mergeCell ref="A8:G8"/>
    <mergeCell ref="A9:F9"/>
    <mergeCell ref="A10:F10"/>
    <mergeCell ref="A11:F11"/>
  </mergeCells>
  <pageMargins left="0.59055118110236227" right="0.19685039370078741" top="0.59055118110236227" bottom="0.59055118110236227" header="0.19685039370078741" footer="0.19685039370078741"/>
  <pageSetup paperSize="9" scale="91"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7"/>
  <sheetViews>
    <sheetView tabSelected="1" view="pageBreakPreview" topLeftCell="A340" zoomScale="115" zoomScaleNormal="100" zoomScaleSheetLayoutView="115" workbookViewId="0">
      <selection activeCell="F345" sqref="F345"/>
    </sheetView>
  </sheetViews>
  <sheetFormatPr defaultRowHeight="15"/>
  <cols>
    <col min="1" max="1" width="5.140625" customWidth="1"/>
    <col min="2" max="2" width="5.5703125" customWidth="1"/>
    <col min="3" max="3" width="30.42578125" customWidth="1"/>
  </cols>
  <sheetData>
    <row r="1" spans="1:7" ht="25.5" customHeight="1">
      <c r="A1" s="980" t="s">
        <v>800</v>
      </c>
      <c r="B1" s="980"/>
      <c r="C1" s="980"/>
      <c r="D1" s="980"/>
      <c r="E1" s="980"/>
      <c r="F1" s="980"/>
      <c r="G1" s="186"/>
    </row>
    <row r="2" spans="1:7" ht="15.75">
      <c r="A2" s="566"/>
      <c r="B2" s="566"/>
      <c r="C2" s="566"/>
      <c r="D2" s="566"/>
      <c r="E2" s="567"/>
      <c r="F2" s="568"/>
      <c r="G2" s="186"/>
    </row>
    <row r="3" spans="1:7" ht="27.75" customHeight="1">
      <c r="A3" s="569"/>
      <c r="B3" s="981" t="s">
        <v>801</v>
      </c>
      <c r="C3" s="981"/>
      <c r="D3" s="981"/>
      <c r="E3" s="981"/>
      <c r="F3" s="981"/>
      <c r="G3" s="186"/>
    </row>
    <row r="4" spans="1:7" ht="327.75" customHeight="1">
      <c r="A4" s="569"/>
      <c r="B4" s="981" t="s">
        <v>802</v>
      </c>
      <c r="C4" s="981"/>
      <c r="D4" s="981"/>
      <c r="E4" s="981"/>
      <c r="F4" s="981"/>
      <c r="G4" s="186"/>
    </row>
    <row r="5" spans="1:7" s="186" customFormat="1" ht="16.5" customHeight="1">
      <c r="A5" s="569"/>
      <c r="B5" s="570"/>
      <c r="C5" s="570"/>
      <c r="D5" s="570"/>
      <c r="E5" s="570"/>
      <c r="F5" s="570"/>
    </row>
    <row r="6" spans="1:7" ht="26.25" customHeight="1">
      <c r="A6" s="465" t="s">
        <v>556</v>
      </c>
      <c r="B6" s="466"/>
      <c r="C6" s="376" t="s">
        <v>281</v>
      </c>
      <c r="D6" s="382" t="s">
        <v>557</v>
      </c>
      <c r="E6" s="377" t="s">
        <v>558</v>
      </c>
      <c r="F6" s="377" t="s">
        <v>559</v>
      </c>
      <c r="G6" s="378" t="s">
        <v>560</v>
      </c>
    </row>
    <row r="7" spans="1:7" ht="15.75" customHeight="1">
      <c r="A7" s="465"/>
      <c r="B7" s="466"/>
      <c r="C7" s="376"/>
      <c r="D7" s="379"/>
      <c r="E7" s="377"/>
      <c r="F7" s="380"/>
      <c r="G7" s="378"/>
    </row>
    <row r="8" spans="1:7" ht="25.5" customHeight="1">
      <c r="A8" s="400"/>
      <c r="B8" s="467" t="s">
        <v>261</v>
      </c>
      <c r="C8" s="381" t="s">
        <v>561</v>
      </c>
      <c r="D8" s="382"/>
      <c r="E8" s="377"/>
      <c r="F8" s="380"/>
      <c r="G8" s="378"/>
    </row>
    <row r="9" spans="1:7" ht="323.25" customHeight="1">
      <c r="A9" s="468"/>
      <c r="B9" s="408"/>
      <c r="C9" s="383" t="s">
        <v>562</v>
      </c>
      <c r="D9" s="409"/>
      <c r="E9" s="469"/>
      <c r="F9" s="469"/>
      <c r="G9" s="470"/>
    </row>
    <row r="10" spans="1:7" ht="16.5" customHeight="1">
      <c r="A10" s="394"/>
      <c r="B10" s="394" t="s">
        <v>19</v>
      </c>
      <c r="C10" s="384" t="s">
        <v>563</v>
      </c>
      <c r="D10" s="406" t="s">
        <v>564</v>
      </c>
      <c r="E10" s="380">
        <f>((3.56+1.45+18.25+1.45+1.45+1.8+9+7.3+1.89+7.13+1.3+17.16+2.9+11+9+2.65+3.24+16.36+2.5+2.26)+7+2.5+3.08)*1.1</f>
        <v>147.65300000000002</v>
      </c>
      <c r="F10" s="471"/>
      <c r="G10" s="405">
        <f t="shared" ref="G10:G21" si="0">E10*F10</f>
        <v>0</v>
      </c>
    </row>
    <row r="11" spans="1:7" ht="20.25" customHeight="1">
      <c r="A11" s="394"/>
      <c r="B11" s="394" t="s">
        <v>20</v>
      </c>
      <c r="C11" s="384" t="s">
        <v>565</v>
      </c>
      <c r="D11" s="406" t="s">
        <v>564</v>
      </c>
      <c r="E11" s="380">
        <f>(0.52+13.37+0.52+24.42+9.76+0.75+16.7+0.52+13.15+1.3)*1.1</f>
        <v>89.111000000000004</v>
      </c>
      <c r="F11" s="471"/>
      <c r="G11" s="405">
        <f t="shared" si="0"/>
        <v>0</v>
      </c>
    </row>
    <row r="12" spans="1:7" ht="27" customHeight="1">
      <c r="A12" s="394"/>
      <c r="B12" s="394" t="s">
        <v>27</v>
      </c>
      <c r="C12" s="384" t="s">
        <v>566</v>
      </c>
      <c r="D12" s="406" t="s">
        <v>564</v>
      </c>
      <c r="E12" s="380">
        <f>((16.15+12.7+2.26+20.86+8.18+1.15+20.1+1.45))*1.1</f>
        <v>91.135000000000019</v>
      </c>
      <c r="F12" s="471"/>
      <c r="G12" s="405">
        <f t="shared" si="0"/>
        <v>0</v>
      </c>
    </row>
    <row r="13" spans="1:7" ht="18" customHeight="1">
      <c r="A13" s="394"/>
      <c r="B13" s="394" t="s">
        <v>567</v>
      </c>
      <c r="C13" s="384" t="s">
        <v>568</v>
      </c>
      <c r="D13" s="406" t="s">
        <v>564</v>
      </c>
      <c r="E13" s="380">
        <f>(1.6+15.85+13.65+8.95)*1.1</f>
        <v>44.055</v>
      </c>
      <c r="F13" s="471"/>
      <c r="G13" s="405">
        <f t="shared" si="0"/>
        <v>0</v>
      </c>
    </row>
    <row r="14" spans="1:7" ht="17.25" customHeight="1">
      <c r="A14" s="394"/>
      <c r="B14" s="394" t="s">
        <v>569</v>
      </c>
      <c r="C14" s="384" t="s">
        <v>570</v>
      </c>
      <c r="D14" s="406" t="s">
        <v>564</v>
      </c>
      <c r="E14" s="380">
        <f>(15.4+34.74)*1.1</f>
        <v>55.154000000000003</v>
      </c>
      <c r="F14" s="471"/>
      <c r="G14" s="405">
        <f t="shared" si="0"/>
        <v>0</v>
      </c>
    </row>
    <row r="15" spans="1:7" ht="14.25" customHeight="1">
      <c r="A15" s="394"/>
      <c r="B15" s="394" t="s">
        <v>571</v>
      </c>
      <c r="C15" s="384" t="s">
        <v>572</v>
      </c>
      <c r="D15" s="406" t="s">
        <v>42</v>
      </c>
      <c r="E15" s="380">
        <v>9</v>
      </c>
      <c r="F15" s="471"/>
      <c r="G15" s="405">
        <f t="shared" si="0"/>
        <v>0</v>
      </c>
    </row>
    <row r="16" spans="1:7" ht="12" customHeight="1">
      <c r="A16" s="394"/>
      <c r="B16" s="394" t="s">
        <v>573</v>
      </c>
      <c r="C16" s="384" t="s">
        <v>574</v>
      </c>
      <c r="D16" s="406" t="s">
        <v>42</v>
      </c>
      <c r="E16" s="380">
        <v>4</v>
      </c>
      <c r="F16" s="471"/>
      <c r="G16" s="405">
        <f t="shared" si="0"/>
        <v>0</v>
      </c>
    </row>
    <row r="17" spans="1:7" ht="18" customHeight="1">
      <c r="A17" s="394"/>
      <c r="B17" s="394" t="s">
        <v>575</v>
      </c>
      <c r="C17" s="384" t="s">
        <v>576</v>
      </c>
      <c r="D17" s="406" t="s">
        <v>42</v>
      </c>
      <c r="E17" s="380">
        <v>7</v>
      </c>
      <c r="F17" s="471"/>
      <c r="G17" s="405">
        <f t="shared" si="0"/>
        <v>0</v>
      </c>
    </row>
    <row r="18" spans="1:7" ht="16.5">
      <c r="A18" s="394"/>
      <c r="B18" s="472" t="s">
        <v>577</v>
      </c>
      <c r="C18" s="384" t="s">
        <v>578</v>
      </c>
      <c r="D18" s="406" t="s">
        <v>42</v>
      </c>
      <c r="E18" s="380">
        <v>1</v>
      </c>
      <c r="F18" s="471"/>
      <c r="G18" s="405">
        <f t="shared" si="0"/>
        <v>0</v>
      </c>
    </row>
    <row r="19" spans="1:7" ht="16.5">
      <c r="A19" s="394"/>
      <c r="B19" s="473" t="s">
        <v>579</v>
      </c>
      <c r="C19" s="384" t="s">
        <v>580</v>
      </c>
      <c r="D19" s="406" t="s">
        <v>42</v>
      </c>
      <c r="E19" s="380">
        <v>1</v>
      </c>
      <c r="F19" s="471"/>
      <c r="G19" s="405">
        <f t="shared" si="0"/>
        <v>0</v>
      </c>
    </row>
    <row r="20" spans="1:7" ht="21" customHeight="1">
      <c r="A20" s="394"/>
      <c r="B20" s="472" t="s">
        <v>581</v>
      </c>
      <c r="C20" s="384" t="s">
        <v>582</v>
      </c>
      <c r="D20" s="406" t="s">
        <v>42</v>
      </c>
      <c r="E20" s="380">
        <v>2</v>
      </c>
      <c r="F20" s="471"/>
      <c r="G20" s="405">
        <f t="shared" si="0"/>
        <v>0</v>
      </c>
    </row>
    <row r="21" spans="1:7" ht="16.5">
      <c r="A21" s="394"/>
      <c r="B21" s="472" t="s">
        <v>583</v>
      </c>
      <c r="C21" s="384" t="s">
        <v>584</v>
      </c>
      <c r="D21" s="406" t="s">
        <v>42</v>
      </c>
      <c r="E21" s="380">
        <v>1</v>
      </c>
      <c r="F21" s="471"/>
      <c r="G21" s="405">
        <f t="shared" si="0"/>
        <v>0</v>
      </c>
    </row>
    <row r="22" spans="1:7" ht="16.5">
      <c r="A22" s="394"/>
      <c r="B22" s="472"/>
      <c r="C22" s="384"/>
      <c r="D22" s="406"/>
      <c r="E22" s="380"/>
      <c r="F22" s="471"/>
      <c r="G22" s="405"/>
    </row>
    <row r="23" spans="1:7" ht="16.5">
      <c r="A23" s="474"/>
      <c r="B23" s="402"/>
      <c r="C23" s="385"/>
      <c r="D23" s="404"/>
      <c r="E23" s="380"/>
      <c r="F23" s="471"/>
      <c r="G23" s="405"/>
    </row>
    <row r="24" spans="1:7" ht="16.5">
      <c r="A24" s="475" t="s">
        <v>556</v>
      </c>
      <c r="B24" s="476"/>
      <c r="C24" s="386" t="s">
        <v>585</v>
      </c>
      <c r="D24" s="477"/>
      <c r="E24" s="984"/>
      <c r="F24" s="984"/>
      <c r="G24" s="478">
        <f>SUM(G10:G23)</f>
        <v>0</v>
      </c>
    </row>
    <row r="25" spans="1:7" ht="15.75" customHeight="1">
      <c r="A25" s="474"/>
      <c r="B25" s="479"/>
      <c r="C25" s="387"/>
      <c r="D25" s="426"/>
      <c r="E25" s="377"/>
      <c r="F25" s="380"/>
      <c r="G25" s="378"/>
    </row>
    <row r="26" spans="1:7" ht="34.5" customHeight="1">
      <c r="A26" s="475" t="s">
        <v>586</v>
      </c>
      <c r="B26" s="408"/>
      <c r="C26" s="381" t="s">
        <v>282</v>
      </c>
      <c r="D26" s="382" t="s">
        <v>557</v>
      </c>
      <c r="E26" s="377" t="s">
        <v>558</v>
      </c>
      <c r="F26" s="377" t="s">
        <v>559</v>
      </c>
      <c r="G26" s="378" t="s">
        <v>560</v>
      </c>
    </row>
    <row r="27" spans="1:7" ht="18.75" customHeight="1">
      <c r="A27" s="468"/>
      <c r="B27" s="408"/>
      <c r="C27" s="383"/>
      <c r="D27" s="409"/>
      <c r="E27" s="469"/>
      <c r="F27" s="469"/>
      <c r="G27" s="470"/>
    </row>
    <row r="28" spans="1:7" ht="8.25" customHeight="1">
      <c r="A28" s="400"/>
      <c r="B28" s="408"/>
      <c r="C28" s="383"/>
      <c r="D28" s="406"/>
      <c r="E28" s="469"/>
      <c r="F28" s="469"/>
      <c r="G28" s="470"/>
    </row>
    <row r="29" spans="1:7" ht="49.5" customHeight="1">
      <c r="A29" s="400"/>
      <c r="B29" s="408" t="s">
        <v>261</v>
      </c>
      <c r="C29" s="388" t="s">
        <v>587</v>
      </c>
      <c r="D29" s="406"/>
      <c r="E29" s="380"/>
      <c r="F29" s="380"/>
      <c r="G29" s="405"/>
    </row>
    <row r="30" spans="1:7" ht="123" customHeight="1">
      <c r="A30" s="480"/>
      <c r="B30" s="481"/>
      <c r="C30" s="389" t="s">
        <v>588</v>
      </c>
      <c r="D30" s="482"/>
      <c r="E30" s="483"/>
      <c r="F30" s="483"/>
      <c r="G30" s="484"/>
    </row>
    <row r="31" spans="1:7" ht="17.25" customHeight="1">
      <c r="A31" s="400"/>
      <c r="B31" s="394"/>
      <c r="C31" s="390" t="s">
        <v>589</v>
      </c>
      <c r="D31" s="406"/>
      <c r="E31" s="380"/>
      <c r="F31" s="380"/>
      <c r="G31" s="405"/>
    </row>
    <row r="32" spans="1:7" ht="16.5">
      <c r="A32" s="400"/>
      <c r="B32" s="394"/>
      <c r="C32" s="390" t="s">
        <v>590</v>
      </c>
      <c r="D32" s="406" t="s">
        <v>591</v>
      </c>
      <c r="E32" s="380">
        <f>29.37*3.4*2</f>
        <v>199.71600000000001</v>
      </c>
      <c r="F32" s="380"/>
      <c r="G32" s="405">
        <f>E32*F32</f>
        <v>0</v>
      </c>
    </row>
    <row r="33" spans="1:7" ht="20.25" customHeight="1">
      <c r="A33" s="400"/>
      <c r="B33" s="394"/>
      <c r="C33" s="390" t="s">
        <v>578</v>
      </c>
      <c r="D33" s="406" t="s">
        <v>591</v>
      </c>
      <c r="E33" s="380">
        <f>14.49*2.3</f>
        <v>33.326999999999998</v>
      </c>
      <c r="F33" s="380"/>
      <c r="G33" s="405">
        <f>E33*F33</f>
        <v>0</v>
      </c>
    </row>
    <row r="34" spans="1:7" ht="16.5">
      <c r="A34" s="400"/>
      <c r="B34" s="394"/>
      <c r="C34" s="390" t="s">
        <v>580</v>
      </c>
      <c r="D34" s="406" t="s">
        <v>591</v>
      </c>
      <c r="E34" s="380">
        <f>59.04*3.4</f>
        <v>200.73599999999999</v>
      </c>
      <c r="F34" s="380"/>
      <c r="G34" s="405">
        <f>E34*F34</f>
        <v>0</v>
      </c>
    </row>
    <row r="35" spans="1:7" ht="18" customHeight="1">
      <c r="A35" s="400"/>
      <c r="B35" s="394"/>
      <c r="C35" s="390" t="s">
        <v>584</v>
      </c>
      <c r="D35" s="406" t="s">
        <v>591</v>
      </c>
      <c r="E35" s="380">
        <f>4.84*2.2</f>
        <v>10.648</v>
      </c>
      <c r="F35" s="380"/>
      <c r="G35" s="405">
        <f>E35*F35</f>
        <v>0</v>
      </c>
    </row>
    <row r="36" spans="1:7" ht="18" customHeight="1">
      <c r="A36" s="401"/>
      <c r="B36" s="402"/>
      <c r="C36" s="391"/>
      <c r="D36" s="404"/>
      <c r="E36" s="380"/>
      <c r="F36" s="380"/>
      <c r="G36" s="405"/>
    </row>
    <row r="37" spans="1:7" ht="16.5" customHeight="1">
      <c r="A37" s="400"/>
      <c r="B37" s="394" t="s">
        <v>262</v>
      </c>
      <c r="C37" s="390" t="s">
        <v>592</v>
      </c>
      <c r="D37" s="406"/>
      <c r="E37" s="380"/>
      <c r="F37" s="380"/>
      <c r="G37" s="405"/>
    </row>
    <row r="38" spans="1:7" ht="19.5" customHeight="1">
      <c r="A38" s="400"/>
      <c r="B38" s="394"/>
      <c r="C38" s="390"/>
      <c r="D38" s="406"/>
      <c r="E38" s="380"/>
      <c r="F38" s="380"/>
      <c r="G38" s="405"/>
    </row>
    <row r="39" spans="1:7" ht="16.5">
      <c r="A39" s="400"/>
      <c r="B39" s="394"/>
      <c r="C39" s="390" t="s">
        <v>590</v>
      </c>
      <c r="D39" s="406" t="s">
        <v>591</v>
      </c>
      <c r="E39" s="380">
        <f>E32-(3*3*3)*2</f>
        <v>145.71600000000001</v>
      </c>
      <c r="F39" s="380"/>
      <c r="G39" s="405">
        <f>E39*F39</f>
        <v>0</v>
      </c>
    </row>
    <row r="40" spans="1:7" ht="28.5" customHeight="1">
      <c r="A40" s="400"/>
      <c r="B40" s="394"/>
      <c r="C40" s="390" t="s">
        <v>578</v>
      </c>
      <c r="D40" s="406" t="s">
        <v>591</v>
      </c>
      <c r="E40" s="380">
        <f>E33-(3*2*2.3)</f>
        <v>19.527000000000001</v>
      </c>
      <c r="F40" s="380"/>
      <c r="G40" s="405">
        <f>E40*F40</f>
        <v>0</v>
      </c>
    </row>
    <row r="41" spans="1:7" ht="19.5" customHeight="1">
      <c r="A41" s="400"/>
      <c r="B41" s="394"/>
      <c r="C41" s="390" t="s">
        <v>580</v>
      </c>
      <c r="D41" s="406" t="s">
        <v>591</v>
      </c>
      <c r="E41" s="380">
        <f>E34-(5*6*3.4)</f>
        <v>98.73599999999999</v>
      </c>
      <c r="F41" s="380"/>
      <c r="G41" s="405">
        <f>E41*F41</f>
        <v>0</v>
      </c>
    </row>
    <row r="42" spans="1:7" ht="16.5">
      <c r="A42" s="400"/>
      <c r="B42" s="394"/>
      <c r="C42" s="390" t="s">
        <v>584</v>
      </c>
      <c r="D42" s="406" t="s">
        <v>591</v>
      </c>
      <c r="E42" s="380">
        <f>E35-(1.5*2)</f>
        <v>7.6479999999999997</v>
      </c>
      <c r="F42" s="380"/>
      <c r="G42" s="405">
        <f>E42*F42</f>
        <v>0</v>
      </c>
    </row>
    <row r="43" spans="1:7" ht="16.5">
      <c r="A43" s="401"/>
      <c r="B43" s="402"/>
      <c r="C43" s="391"/>
      <c r="D43" s="404"/>
      <c r="E43" s="380"/>
      <c r="F43" s="380"/>
      <c r="G43" s="405"/>
    </row>
    <row r="44" spans="1:7" ht="45.75" customHeight="1">
      <c r="A44" s="401"/>
      <c r="B44" s="394" t="s">
        <v>263</v>
      </c>
      <c r="C44" s="390" t="s">
        <v>593</v>
      </c>
      <c r="D44" s="406"/>
      <c r="E44" s="380"/>
      <c r="F44" s="380"/>
      <c r="G44" s="405"/>
    </row>
    <row r="45" spans="1:7" ht="13.5" customHeight="1">
      <c r="A45" s="401"/>
      <c r="B45" s="394"/>
      <c r="C45" s="383" t="s">
        <v>594</v>
      </c>
      <c r="D45" s="406" t="s">
        <v>591</v>
      </c>
      <c r="E45" s="469">
        <f>E32+E33+E34+E35-E39-E40-E41-E42</f>
        <v>172.80000000000004</v>
      </c>
      <c r="F45" s="469"/>
      <c r="G45" s="405">
        <f>E45*F45</f>
        <v>0</v>
      </c>
    </row>
    <row r="46" spans="1:7" ht="15.75" customHeight="1">
      <c r="A46" s="401"/>
      <c r="B46" s="402"/>
      <c r="C46" s="392"/>
      <c r="D46" s="404"/>
      <c r="E46" s="469"/>
      <c r="F46" s="469"/>
      <c r="G46" s="470"/>
    </row>
    <row r="47" spans="1:7" ht="16.5">
      <c r="A47" s="401"/>
      <c r="B47" s="402"/>
      <c r="C47" s="392"/>
      <c r="D47" s="404"/>
      <c r="E47" s="469"/>
      <c r="F47" s="469"/>
      <c r="G47" s="470"/>
    </row>
    <row r="48" spans="1:7" ht="41.25" customHeight="1">
      <c r="A48" s="400"/>
      <c r="B48" s="408" t="s">
        <v>264</v>
      </c>
      <c r="C48" s="388" t="s">
        <v>595</v>
      </c>
      <c r="D48" s="409"/>
      <c r="E48" s="469"/>
      <c r="F48" s="469"/>
      <c r="G48" s="470"/>
    </row>
    <row r="49" spans="1:7" ht="150" customHeight="1">
      <c r="A49" s="400"/>
      <c r="B49" s="394"/>
      <c r="C49" s="383" t="s">
        <v>596</v>
      </c>
      <c r="D49" s="406"/>
      <c r="E49" s="469"/>
      <c r="F49" s="469"/>
      <c r="G49" s="470"/>
    </row>
    <row r="50" spans="1:7" ht="18" customHeight="1">
      <c r="A50" s="400"/>
      <c r="B50" s="394"/>
      <c r="C50" s="383" t="s">
        <v>597</v>
      </c>
      <c r="D50" s="406" t="s">
        <v>591</v>
      </c>
      <c r="E50" s="469">
        <f>((E10+E13+E14+E11+E12)*0.7*0.9)*1.1</f>
        <v>295.9858440000001</v>
      </c>
      <c r="F50" s="469"/>
      <c r="G50" s="405">
        <f>E50*F50</f>
        <v>0</v>
      </c>
    </row>
    <row r="51" spans="1:7" ht="16.5">
      <c r="A51" s="401"/>
      <c r="B51" s="402"/>
      <c r="C51" s="392"/>
      <c r="D51" s="404"/>
      <c r="E51" s="469"/>
      <c r="F51" s="469"/>
      <c r="G51" s="470"/>
    </row>
    <row r="52" spans="1:7" ht="25.5">
      <c r="A52" s="393"/>
      <c r="B52" s="394" t="s">
        <v>265</v>
      </c>
      <c r="C52" s="386" t="s">
        <v>598</v>
      </c>
      <c r="D52" s="395"/>
      <c r="E52" s="396"/>
      <c r="F52" s="396"/>
      <c r="G52" s="397"/>
    </row>
    <row r="53" spans="1:7" ht="131.25" customHeight="1">
      <c r="A53" s="393"/>
      <c r="B53" s="398"/>
      <c r="C53" s="399" t="s">
        <v>599</v>
      </c>
      <c r="D53" s="395"/>
      <c r="E53" s="396"/>
      <c r="F53" s="396"/>
      <c r="G53" s="397"/>
    </row>
    <row r="54" spans="1:7" ht="25.5" customHeight="1">
      <c r="A54" s="400"/>
      <c r="B54" s="398"/>
      <c r="C54" s="383" t="s">
        <v>600</v>
      </c>
      <c r="D54" s="406" t="s">
        <v>601</v>
      </c>
      <c r="E54" s="469">
        <f>E50/0.9</f>
        <v>328.8731600000001</v>
      </c>
      <c r="F54" s="469"/>
      <c r="G54" s="405">
        <f>E54*F54</f>
        <v>0</v>
      </c>
    </row>
    <row r="55" spans="1:7" ht="16.5">
      <c r="A55" s="401"/>
      <c r="B55" s="402"/>
      <c r="C55" s="403"/>
      <c r="D55" s="404"/>
      <c r="E55" s="380"/>
      <c r="F55" s="380"/>
      <c r="G55" s="405"/>
    </row>
    <row r="56" spans="1:7" ht="54" customHeight="1">
      <c r="A56" s="400"/>
      <c r="B56" s="394" t="s">
        <v>266</v>
      </c>
      <c r="C56" s="386" t="s">
        <v>602</v>
      </c>
      <c r="D56" s="406"/>
      <c r="E56" s="380"/>
      <c r="F56" s="380"/>
      <c r="G56" s="405"/>
    </row>
    <row r="57" spans="1:7" ht="150" customHeight="1">
      <c r="A57" s="393"/>
      <c r="B57" s="394"/>
      <c r="C57" s="390" t="s">
        <v>603</v>
      </c>
      <c r="D57" s="406"/>
      <c r="E57" s="380"/>
      <c r="F57" s="380"/>
      <c r="G57" s="405"/>
    </row>
    <row r="58" spans="1:7" ht="22.5" customHeight="1">
      <c r="A58" s="393"/>
      <c r="B58" s="394"/>
      <c r="C58" s="383" t="s">
        <v>604</v>
      </c>
      <c r="D58" s="406" t="s">
        <v>591</v>
      </c>
      <c r="E58" s="469">
        <f>E54*0.4</f>
        <v>131.54926400000005</v>
      </c>
      <c r="F58" s="469"/>
      <c r="G58" s="405">
        <f>E58*F58</f>
        <v>0</v>
      </c>
    </row>
    <row r="59" spans="1:7" ht="16.5">
      <c r="A59" s="407"/>
      <c r="B59" s="402"/>
      <c r="C59" s="392"/>
      <c r="D59" s="404"/>
      <c r="E59" s="380"/>
      <c r="F59" s="380"/>
      <c r="G59" s="405"/>
    </row>
    <row r="60" spans="1:7" ht="27" customHeight="1">
      <c r="A60" s="468"/>
      <c r="B60" s="408" t="s">
        <v>267</v>
      </c>
      <c r="C60" s="388" t="s">
        <v>605</v>
      </c>
      <c r="D60" s="409"/>
      <c r="E60" s="469"/>
      <c r="F60" s="469"/>
      <c r="G60" s="470"/>
    </row>
    <row r="61" spans="1:7" ht="123.75" customHeight="1">
      <c r="A61" s="468"/>
      <c r="B61" s="408"/>
      <c r="C61" s="383" t="s">
        <v>606</v>
      </c>
      <c r="D61" s="409"/>
      <c r="E61" s="469"/>
      <c r="F61" s="469"/>
      <c r="G61" s="470"/>
    </row>
    <row r="62" spans="1:7" ht="21" customHeight="1">
      <c r="A62" s="468"/>
      <c r="B62" s="408"/>
      <c r="C62" s="399" t="s">
        <v>607</v>
      </c>
      <c r="D62" s="395" t="s">
        <v>608</v>
      </c>
      <c r="E62" s="396">
        <f>E50-E58</f>
        <v>164.43658000000005</v>
      </c>
      <c r="F62" s="396"/>
      <c r="G62" s="405">
        <f>E62*F62</f>
        <v>0</v>
      </c>
    </row>
    <row r="63" spans="1:7" ht="16.5">
      <c r="A63" s="474"/>
      <c r="B63" s="485"/>
      <c r="C63" s="392"/>
      <c r="D63" s="486"/>
      <c r="E63" s="469"/>
      <c r="F63" s="469"/>
      <c r="G63" s="470"/>
    </row>
    <row r="64" spans="1:7" ht="19.5" customHeight="1">
      <c r="A64" s="468"/>
      <c r="B64" s="408" t="s">
        <v>268</v>
      </c>
      <c r="C64" s="388" t="s">
        <v>609</v>
      </c>
      <c r="D64" s="409"/>
      <c r="E64" s="469"/>
      <c r="F64" s="469"/>
      <c r="G64" s="470"/>
    </row>
    <row r="65" spans="1:7" ht="114.75">
      <c r="A65" s="468"/>
      <c r="B65" s="408"/>
      <c r="C65" s="383" t="s">
        <v>610</v>
      </c>
      <c r="D65" s="406"/>
      <c r="E65" s="380"/>
      <c r="F65" s="380"/>
      <c r="G65" s="405"/>
    </row>
    <row r="66" spans="1:7" ht="33" customHeight="1">
      <c r="A66" s="475"/>
      <c r="B66" s="408"/>
      <c r="C66" s="399" t="s">
        <v>611</v>
      </c>
      <c r="D66" s="395" t="s">
        <v>591</v>
      </c>
      <c r="E66" s="396">
        <f>(E50-E62)*1.3</f>
        <v>171.01404320000006</v>
      </c>
      <c r="F66" s="396"/>
      <c r="G66" s="405">
        <f>F66*E66</f>
        <v>0</v>
      </c>
    </row>
    <row r="67" spans="1:7" ht="16.5">
      <c r="A67" s="487"/>
      <c r="B67" s="485"/>
      <c r="C67" s="391"/>
      <c r="D67" s="486"/>
      <c r="E67" s="469"/>
      <c r="F67" s="469"/>
      <c r="G67" s="470"/>
    </row>
    <row r="68" spans="1:7" ht="24.75" customHeight="1">
      <c r="A68" s="475" t="s">
        <v>586</v>
      </c>
      <c r="B68" s="476"/>
      <c r="C68" s="381" t="s">
        <v>612</v>
      </c>
      <c r="D68" s="477"/>
      <c r="E68" s="488"/>
      <c r="F68" s="380"/>
      <c r="G68" s="478">
        <f>SUM(G30:G67)</f>
        <v>0</v>
      </c>
    </row>
    <row r="69" spans="1:7" ht="16.5">
      <c r="A69" s="475"/>
      <c r="B69" s="476"/>
      <c r="C69" s="381"/>
      <c r="D69" s="477"/>
      <c r="E69" s="488"/>
      <c r="F69" s="380"/>
      <c r="G69" s="478"/>
    </row>
    <row r="70" spans="1:7" ht="25.5">
      <c r="A70" s="489" t="s">
        <v>613</v>
      </c>
      <c r="B70" s="489"/>
      <c r="C70" s="381" t="s">
        <v>614</v>
      </c>
      <c r="D70" s="382" t="s">
        <v>615</v>
      </c>
      <c r="E70" s="377" t="s">
        <v>6</v>
      </c>
      <c r="F70" s="377" t="s">
        <v>616</v>
      </c>
      <c r="G70" s="378" t="s">
        <v>617</v>
      </c>
    </row>
    <row r="71" spans="1:7" ht="16.5">
      <c r="A71" s="489"/>
      <c r="B71" s="408" t="s">
        <v>261</v>
      </c>
      <c r="C71" s="381" t="s">
        <v>618</v>
      </c>
      <c r="D71" s="382"/>
      <c r="E71" s="377"/>
      <c r="F71" s="377"/>
      <c r="G71" s="378"/>
    </row>
    <row r="72" spans="1:7" ht="68.25" customHeight="1">
      <c r="A72" s="490"/>
      <c r="B72" s="408" t="s">
        <v>190</v>
      </c>
      <c r="C72" s="383" t="s">
        <v>619</v>
      </c>
      <c r="D72" s="418"/>
      <c r="E72" s="470"/>
      <c r="F72" s="491"/>
      <c r="G72" s="470"/>
    </row>
    <row r="73" spans="1:7" ht="15.75">
      <c r="A73" s="489"/>
      <c r="B73" s="411"/>
      <c r="C73" s="383" t="s">
        <v>620</v>
      </c>
      <c r="D73" s="492" t="s">
        <v>591</v>
      </c>
      <c r="E73" s="493">
        <f>30*0.25</f>
        <v>7.5</v>
      </c>
      <c r="F73" s="494"/>
      <c r="G73" s="470">
        <f>F73*E73</f>
        <v>0</v>
      </c>
    </row>
    <row r="74" spans="1:7" ht="15.75">
      <c r="A74" s="489"/>
      <c r="B74" s="411"/>
      <c r="C74" s="383" t="s">
        <v>30</v>
      </c>
      <c r="D74" s="492" t="s">
        <v>601</v>
      </c>
      <c r="E74" s="493">
        <f>22*0.25</f>
        <v>5.5</v>
      </c>
      <c r="F74" s="494"/>
      <c r="G74" s="470">
        <f>F74*E74</f>
        <v>0</v>
      </c>
    </row>
    <row r="75" spans="1:7">
      <c r="A75" s="489"/>
      <c r="B75" s="411"/>
      <c r="C75" s="383"/>
      <c r="D75" s="492"/>
      <c r="E75" s="493"/>
      <c r="F75" s="494"/>
      <c r="G75" s="470"/>
    </row>
    <row r="76" spans="1:7" ht="55.5" customHeight="1">
      <c r="A76" s="490"/>
      <c r="B76" s="408" t="s">
        <v>191</v>
      </c>
      <c r="C76" s="383" t="s">
        <v>621</v>
      </c>
      <c r="D76" s="418"/>
      <c r="E76" s="470"/>
      <c r="F76" s="491"/>
      <c r="G76" s="470"/>
    </row>
    <row r="77" spans="1:7" ht="15.75">
      <c r="A77" s="489"/>
      <c r="B77" s="411"/>
      <c r="C77" s="383" t="s">
        <v>622</v>
      </c>
      <c r="D77" s="492" t="s">
        <v>591</v>
      </c>
      <c r="E77" s="493">
        <f>5.25*2.5</f>
        <v>13.125</v>
      </c>
      <c r="F77" s="494"/>
      <c r="G77" s="470">
        <f>F77*E77</f>
        <v>0</v>
      </c>
    </row>
    <row r="78" spans="1:7" ht="15.75">
      <c r="A78" s="489"/>
      <c r="B78" s="411"/>
      <c r="C78" s="383" t="s">
        <v>30</v>
      </c>
      <c r="D78" s="492" t="s">
        <v>601</v>
      </c>
      <c r="E78" s="493">
        <f>42*2.5</f>
        <v>105</v>
      </c>
      <c r="F78" s="494"/>
      <c r="G78" s="470">
        <f>F78*E78</f>
        <v>0</v>
      </c>
    </row>
    <row r="79" spans="1:7">
      <c r="A79" s="489"/>
      <c r="B79" s="411"/>
      <c r="C79" s="383"/>
      <c r="D79" s="492"/>
      <c r="E79" s="493"/>
      <c r="F79" s="494"/>
      <c r="G79" s="470"/>
    </row>
    <row r="80" spans="1:7" ht="54.75" customHeight="1">
      <c r="A80" s="489"/>
      <c r="B80" s="408" t="s">
        <v>192</v>
      </c>
      <c r="C80" s="383" t="s">
        <v>623</v>
      </c>
      <c r="D80" s="383"/>
      <c r="E80" s="383"/>
      <c r="F80" s="409"/>
      <c r="G80" s="410"/>
    </row>
    <row r="81" spans="1:7" ht="18.75" customHeight="1">
      <c r="A81" s="490"/>
      <c r="B81" s="411"/>
      <c r="C81" s="383" t="s">
        <v>622</v>
      </c>
      <c r="D81" s="492" t="s">
        <v>591</v>
      </c>
      <c r="E81" s="493">
        <f>30*0.25-(0.6*0.6*0.25)</f>
        <v>7.41</v>
      </c>
      <c r="F81" s="412"/>
      <c r="G81" s="470">
        <f>F81*E81</f>
        <v>0</v>
      </c>
    </row>
    <row r="82" spans="1:7" ht="19.5" customHeight="1">
      <c r="A82" s="490"/>
      <c r="B82" s="411"/>
      <c r="C82" s="383" t="s">
        <v>30</v>
      </c>
      <c r="D82" s="492" t="s">
        <v>601</v>
      </c>
      <c r="E82" s="493">
        <f>22*0.25+24.75-(0.6*0.6)</f>
        <v>29.89</v>
      </c>
      <c r="F82" s="412"/>
      <c r="G82" s="470">
        <f>F82*E82</f>
        <v>0</v>
      </c>
    </row>
    <row r="83" spans="1:7">
      <c r="A83" s="495"/>
      <c r="B83" s="496"/>
      <c r="C83" s="392"/>
      <c r="D83" s="392"/>
      <c r="E83" s="411"/>
      <c r="F83" s="412"/>
      <c r="G83" s="413"/>
    </row>
    <row r="84" spans="1:7" ht="19.5" customHeight="1">
      <c r="A84" s="490"/>
      <c r="B84" s="408" t="s">
        <v>262</v>
      </c>
      <c r="C84" s="414" t="s">
        <v>624</v>
      </c>
      <c r="D84" s="497"/>
      <c r="E84" s="469"/>
      <c r="F84" s="469"/>
      <c r="G84" s="470"/>
    </row>
    <row r="85" spans="1:7" ht="38.25">
      <c r="A85" s="490"/>
      <c r="B85" s="415"/>
      <c r="C85" s="410" t="s">
        <v>625</v>
      </c>
      <c r="D85" s="409"/>
      <c r="E85" s="469"/>
      <c r="F85" s="469"/>
      <c r="G85" s="470"/>
    </row>
    <row r="86" spans="1:7" ht="38.25">
      <c r="A86" s="490"/>
      <c r="B86" s="408" t="s">
        <v>190</v>
      </c>
      <c r="C86" s="410" t="s">
        <v>626</v>
      </c>
      <c r="D86" s="492" t="s">
        <v>591</v>
      </c>
      <c r="E86" s="494">
        <f>2.2*6.6*0.1</f>
        <v>1.452</v>
      </c>
      <c r="F86" s="469"/>
      <c r="G86" s="470">
        <f>F86*E86</f>
        <v>0</v>
      </c>
    </row>
    <row r="87" spans="1:7">
      <c r="A87" s="490"/>
      <c r="B87" s="415"/>
      <c r="C87" s="410"/>
      <c r="D87" s="409"/>
      <c r="E87" s="469"/>
      <c r="F87" s="469"/>
      <c r="G87" s="470"/>
    </row>
    <row r="88" spans="1:7" ht="66" customHeight="1">
      <c r="A88" s="490"/>
      <c r="B88" s="408" t="s">
        <v>191</v>
      </c>
      <c r="C88" s="383" t="s">
        <v>627</v>
      </c>
      <c r="D88" s="418"/>
      <c r="E88" s="470"/>
      <c r="F88" s="491"/>
      <c r="G88" s="470"/>
    </row>
    <row r="89" spans="1:7" ht="15.75">
      <c r="A89" s="489"/>
      <c r="B89" s="411"/>
      <c r="C89" s="383" t="s">
        <v>622</v>
      </c>
      <c r="D89" s="492" t="s">
        <v>591</v>
      </c>
      <c r="E89" s="493">
        <f>2*3*0.2</f>
        <v>1.2000000000000002</v>
      </c>
      <c r="F89" s="494"/>
      <c r="G89" s="470">
        <f>F89*E89</f>
        <v>0</v>
      </c>
    </row>
    <row r="90" spans="1:7" ht="15.75">
      <c r="A90" s="489"/>
      <c r="B90" s="411"/>
      <c r="C90" s="383" t="s">
        <v>30</v>
      </c>
      <c r="D90" s="492" t="s">
        <v>601</v>
      </c>
      <c r="E90" s="493">
        <f>10*0.2</f>
        <v>2</v>
      </c>
      <c r="F90" s="494"/>
      <c r="G90" s="470">
        <f>F90*E90</f>
        <v>0</v>
      </c>
    </row>
    <row r="91" spans="1:7">
      <c r="A91" s="489"/>
      <c r="B91" s="411"/>
      <c r="C91" s="383"/>
      <c r="D91" s="492"/>
      <c r="E91" s="493"/>
      <c r="F91" s="494"/>
      <c r="G91" s="470"/>
    </row>
    <row r="92" spans="1:7" ht="68.25" customHeight="1">
      <c r="A92" s="490"/>
      <c r="B92" s="408" t="s">
        <v>192</v>
      </c>
      <c r="C92" s="383" t="s">
        <v>628</v>
      </c>
      <c r="D92" s="418"/>
      <c r="E92" s="470"/>
      <c r="F92" s="491"/>
      <c r="G92" s="470"/>
    </row>
    <row r="93" spans="1:7" ht="15.75">
      <c r="A93" s="489"/>
      <c r="B93" s="411"/>
      <c r="C93" s="383" t="s">
        <v>622</v>
      </c>
      <c r="D93" s="492" t="s">
        <v>591</v>
      </c>
      <c r="E93" s="493">
        <f>2.25*1.8</f>
        <v>4.05</v>
      </c>
      <c r="F93" s="494"/>
      <c r="G93" s="470">
        <f>F93*E93</f>
        <v>0</v>
      </c>
    </row>
    <row r="94" spans="1:7" ht="15.75">
      <c r="A94" s="489"/>
      <c r="B94" s="411"/>
      <c r="C94" s="383" t="s">
        <v>30</v>
      </c>
      <c r="D94" s="492" t="s">
        <v>601</v>
      </c>
      <c r="E94" s="493">
        <f>18*2.3</f>
        <v>41.4</v>
      </c>
      <c r="F94" s="494"/>
      <c r="G94" s="470">
        <f>F94*E94</f>
        <v>0</v>
      </c>
    </row>
    <row r="95" spans="1:7">
      <c r="A95" s="489"/>
      <c r="B95" s="411"/>
      <c r="C95" s="383"/>
      <c r="D95" s="492"/>
      <c r="E95" s="493"/>
      <c r="F95" s="494"/>
      <c r="G95" s="470"/>
    </row>
    <row r="96" spans="1:7" ht="63.75">
      <c r="A96" s="489"/>
      <c r="B96" s="408" t="s">
        <v>193</v>
      </c>
      <c r="C96" s="383" t="s">
        <v>629</v>
      </c>
      <c r="D96" s="383"/>
      <c r="E96" s="383"/>
      <c r="F96" s="409"/>
      <c r="G96" s="410"/>
    </row>
    <row r="97" spans="1:7" ht="39.75" customHeight="1">
      <c r="A97" s="490"/>
      <c r="B97" s="411"/>
      <c r="C97" s="383" t="s">
        <v>622</v>
      </c>
      <c r="D97" s="492" t="s">
        <v>591</v>
      </c>
      <c r="E97" s="493">
        <f>6*0.25</f>
        <v>1.5</v>
      </c>
      <c r="F97" s="412"/>
      <c r="G97" s="470">
        <f>F97*E97</f>
        <v>0</v>
      </c>
    </row>
    <row r="98" spans="1:7" ht="15.75">
      <c r="A98" s="490"/>
      <c r="B98" s="415"/>
      <c r="C98" s="410" t="s">
        <v>30</v>
      </c>
      <c r="D98" s="492" t="s">
        <v>601</v>
      </c>
      <c r="E98" s="493">
        <f>10*0.25</f>
        <v>2.5</v>
      </c>
      <c r="F98" s="469"/>
      <c r="G98" s="470">
        <f>F98*E98</f>
        <v>0</v>
      </c>
    </row>
    <row r="99" spans="1:7">
      <c r="A99" s="490"/>
      <c r="B99" s="415"/>
      <c r="C99" s="410"/>
      <c r="D99" s="492"/>
      <c r="E99" s="493"/>
      <c r="F99" s="469"/>
      <c r="G99" s="470"/>
    </row>
    <row r="100" spans="1:7" ht="16.5">
      <c r="A100" s="490"/>
      <c r="B100" s="408" t="s">
        <v>263</v>
      </c>
      <c r="C100" s="414" t="s">
        <v>630</v>
      </c>
      <c r="D100" s="492"/>
      <c r="E100" s="493"/>
      <c r="F100" s="469"/>
      <c r="G100" s="470"/>
    </row>
    <row r="101" spans="1:7" ht="39.75" customHeight="1">
      <c r="A101" s="490"/>
      <c r="B101" s="408" t="s">
        <v>190</v>
      </c>
      <c r="C101" s="383" t="s">
        <v>631</v>
      </c>
      <c r="D101" s="418"/>
      <c r="E101" s="470"/>
      <c r="F101" s="491"/>
      <c r="G101" s="470"/>
    </row>
    <row r="102" spans="1:7" ht="15.75">
      <c r="A102" s="489"/>
      <c r="B102" s="411"/>
      <c r="C102" s="383" t="s">
        <v>620</v>
      </c>
      <c r="D102" s="492" t="s">
        <v>591</v>
      </c>
      <c r="E102" s="493">
        <f>(6.6*0.6)*2</f>
        <v>7.919999999999999</v>
      </c>
      <c r="F102" s="494"/>
      <c r="G102" s="470">
        <f>F102*E102</f>
        <v>0</v>
      </c>
    </row>
    <row r="103" spans="1:7" ht="15.75">
      <c r="A103" s="489"/>
      <c r="B103" s="411"/>
      <c r="C103" s="383" t="s">
        <v>30</v>
      </c>
      <c r="D103" s="492" t="s">
        <v>601</v>
      </c>
      <c r="E103" s="493">
        <f>(22*0.6)*2</f>
        <v>26.4</v>
      </c>
      <c r="F103" s="494"/>
      <c r="G103" s="470">
        <f>F103*E103</f>
        <v>0</v>
      </c>
    </row>
    <row r="104" spans="1:7">
      <c r="A104" s="489"/>
      <c r="B104" s="411"/>
      <c r="C104" s="383"/>
      <c r="D104" s="492"/>
      <c r="E104" s="493"/>
      <c r="F104" s="494"/>
      <c r="G104" s="470"/>
    </row>
    <row r="105" spans="1:7" ht="43.5" customHeight="1">
      <c r="A105" s="490"/>
      <c r="B105" s="408" t="s">
        <v>191</v>
      </c>
      <c r="C105" s="383" t="s">
        <v>632</v>
      </c>
      <c r="D105" s="418"/>
      <c r="E105" s="470"/>
      <c r="F105" s="491"/>
      <c r="G105" s="470"/>
    </row>
    <row r="106" spans="1:7" ht="15.75">
      <c r="A106" s="489"/>
      <c r="B106" s="411"/>
      <c r="C106" s="383" t="s">
        <v>622</v>
      </c>
      <c r="D106" s="492" t="s">
        <v>591</v>
      </c>
      <c r="E106" s="493">
        <f>(2.75*2)*2</f>
        <v>11</v>
      </c>
      <c r="F106" s="494"/>
      <c r="G106" s="470">
        <f>F106*E106</f>
        <v>0</v>
      </c>
    </row>
    <row r="107" spans="1:7" ht="15.75">
      <c r="A107" s="489"/>
      <c r="B107" s="411"/>
      <c r="C107" s="383" t="s">
        <v>30</v>
      </c>
      <c r="D107" s="492" t="s">
        <v>601</v>
      </c>
      <c r="E107" s="493">
        <f>(22*2)*2</f>
        <v>88</v>
      </c>
      <c r="F107" s="494"/>
      <c r="G107" s="470">
        <f>F107*E107</f>
        <v>0</v>
      </c>
    </row>
    <row r="108" spans="1:7">
      <c r="A108" s="489"/>
      <c r="B108" s="411"/>
      <c r="C108" s="383"/>
      <c r="D108" s="492"/>
      <c r="E108" s="493"/>
      <c r="F108" s="494"/>
      <c r="G108" s="470"/>
    </row>
    <row r="109" spans="1:7" ht="39.75" customHeight="1">
      <c r="A109" s="489"/>
      <c r="B109" s="408" t="s">
        <v>192</v>
      </c>
      <c r="C109" s="383" t="s">
        <v>633</v>
      </c>
      <c r="D109" s="383"/>
      <c r="E109" s="383"/>
      <c r="F109" s="409"/>
      <c r="G109" s="410"/>
    </row>
    <row r="110" spans="1:7" ht="15.75">
      <c r="A110" s="490"/>
      <c r="B110" s="411"/>
      <c r="C110" s="383" t="s">
        <v>622</v>
      </c>
      <c r="D110" s="492" t="s">
        <v>591</v>
      </c>
      <c r="E110" s="493">
        <f>(9*0.25)*2</f>
        <v>4.5</v>
      </c>
      <c r="F110" s="412"/>
      <c r="G110" s="470">
        <f>F110*E110</f>
        <v>0</v>
      </c>
    </row>
    <row r="111" spans="1:7" ht="39" customHeight="1">
      <c r="A111" s="490"/>
      <c r="B111" s="411"/>
      <c r="C111" s="383" t="s">
        <v>30</v>
      </c>
      <c r="D111" s="492" t="s">
        <v>601</v>
      </c>
      <c r="E111" s="493">
        <f>(12*0.25+6.25-0.36)*2</f>
        <v>17.78</v>
      </c>
      <c r="F111" s="412"/>
      <c r="G111" s="470">
        <f>F111*E111</f>
        <v>0</v>
      </c>
    </row>
    <row r="112" spans="1:7" ht="16.5" customHeight="1">
      <c r="A112" s="490"/>
      <c r="B112" s="415"/>
      <c r="C112" s="414"/>
      <c r="D112" s="492"/>
      <c r="E112" s="493"/>
      <c r="F112" s="469"/>
      <c r="G112" s="470"/>
    </row>
    <row r="113" spans="1:7" ht="40.5">
      <c r="A113" s="490"/>
      <c r="B113" s="408" t="s">
        <v>264</v>
      </c>
      <c r="C113" s="415" t="s">
        <v>634</v>
      </c>
      <c r="D113" s="492" t="s">
        <v>591</v>
      </c>
      <c r="E113" s="494">
        <v>0.3</v>
      </c>
      <c r="F113" s="469"/>
      <c r="G113" s="470">
        <f>F113*E113</f>
        <v>0</v>
      </c>
    </row>
    <row r="114" spans="1:7" ht="18" customHeight="1">
      <c r="A114" s="490"/>
      <c r="B114" s="415"/>
      <c r="C114" s="415"/>
      <c r="D114" s="492"/>
      <c r="E114" s="493"/>
      <c r="F114" s="469"/>
      <c r="G114" s="470"/>
    </row>
    <row r="115" spans="1:7" ht="16.5" customHeight="1">
      <c r="A115" s="490"/>
      <c r="B115" s="408" t="s">
        <v>265</v>
      </c>
      <c r="C115" s="415" t="s">
        <v>635</v>
      </c>
      <c r="D115" s="492"/>
      <c r="E115" s="493"/>
      <c r="F115" s="469"/>
      <c r="G115" s="470"/>
    </row>
    <row r="116" spans="1:7" ht="15.75">
      <c r="A116" s="490"/>
      <c r="B116" s="415"/>
      <c r="C116" s="415" t="s">
        <v>636</v>
      </c>
      <c r="D116" s="492" t="s">
        <v>591</v>
      </c>
      <c r="E116" s="493">
        <v>3</v>
      </c>
      <c r="F116" s="469"/>
      <c r="G116" s="470">
        <f>F116*E116</f>
        <v>0</v>
      </c>
    </row>
    <row r="117" spans="1:7" ht="15" customHeight="1">
      <c r="A117" s="490"/>
      <c r="B117" s="415"/>
      <c r="C117" s="415"/>
      <c r="D117" s="492"/>
      <c r="E117" s="493"/>
      <c r="F117" s="469"/>
      <c r="G117" s="470"/>
    </row>
    <row r="118" spans="1:7" ht="155.25" customHeight="1">
      <c r="A118" s="490"/>
      <c r="B118" s="408" t="s">
        <v>266</v>
      </c>
      <c r="C118" s="415" t="s">
        <v>637</v>
      </c>
      <c r="D118" s="492"/>
      <c r="E118" s="493"/>
      <c r="F118" s="469"/>
      <c r="G118" s="470"/>
    </row>
    <row r="119" spans="1:7" ht="24.75" customHeight="1">
      <c r="A119" s="490"/>
      <c r="B119" s="415"/>
      <c r="C119" s="415" t="s">
        <v>636</v>
      </c>
      <c r="D119" s="492" t="s">
        <v>591</v>
      </c>
      <c r="E119" s="493">
        <v>0.3</v>
      </c>
      <c r="F119" s="469"/>
      <c r="G119" s="470">
        <f>F119*E119</f>
        <v>0</v>
      </c>
    </row>
    <row r="120" spans="1:7">
      <c r="A120" s="490"/>
      <c r="B120" s="415"/>
      <c r="C120" s="415"/>
      <c r="D120" s="492"/>
      <c r="E120" s="493"/>
      <c r="F120" s="469"/>
      <c r="G120" s="470"/>
    </row>
    <row r="121" spans="1:7" ht="127.5">
      <c r="A121" s="490"/>
      <c r="B121" s="408" t="s">
        <v>267</v>
      </c>
      <c r="C121" s="415" t="s">
        <v>638</v>
      </c>
      <c r="D121" s="492" t="s">
        <v>42</v>
      </c>
      <c r="E121" s="494">
        <v>3</v>
      </c>
      <c r="F121" s="469"/>
      <c r="G121" s="470">
        <f>F121*E121</f>
        <v>0</v>
      </c>
    </row>
    <row r="122" spans="1:7" ht="15" customHeight="1">
      <c r="A122" s="495"/>
      <c r="B122" s="498"/>
      <c r="C122" s="392"/>
      <c r="D122" s="392"/>
      <c r="E122" s="416"/>
      <c r="F122" s="412"/>
      <c r="G122" s="413"/>
    </row>
    <row r="123" spans="1:7">
      <c r="A123" s="489" t="s">
        <v>613</v>
      </c>
      <c r="B123" s="489"/>
      <c r="C123" s="381" t="s">
        <v>639</v>
      </c>
      <c r="D123" s="477"/>
      <c r="E123" s="499">
        <f>E73+E77+E81+E89+E93+E97+E102+E106+E110</f>
        <v>58.204999999999998</v>
      </c>
      <c r="F123" s="380"/>
      <c r="G123" s="478">
        <f>SUM(G73:G121)</f>
        <v>0</v>
      </c>
    </row>
    <row r="124" spans="1:7" ht="15.75" customHeight="1">
      <c r="A124" s="490"/>
      <c r="B124" s="500"/>
      <c r="C124" s="383"/>
      <c r="D124" s="383"/>
      <c r="E124" s="411"/>
      <c r="F124" s="412"/>
      <c r="G124" s="413"/>
    </row>
    <row r="125" spans="1:7" ht="18" customHeight="1">
      <c r="A125" s="501"/>
      <c r="B125" s="501"/>
      <c r="C125" s="417"/>
      <c r="D125" s="502"/>
      <c r="E125" s="503"/>
      <c r="F125" s="469"/>
      <c r="G125" s="470"/>
    </row>
    <row r="126" spans="1:7" ht="16.5" customHeight="1">
      <c r="A126" s="489" t="s">
        <v>640</v>
      </c>
      <c r="B126" s="381"/>
      <c r="C126" s="381" t="s">
        <v>641</v>
      </c>
      <c r="D126" s="381"/>
      <c r="E126" s="381"/>
      <c r="F126" s="381"/>
      <c r="G126" s="381"/>
    </row>
    <row r="127" spans="1:7" ht="17.25" customHeight="1">
      <c r="A127" s="415"/>
      <c r="B127" s="410"/>
      <c r="C127" s="418"/>
      <c r="D127" s="418"/>
      <c r="E127" s="470"/>
      <c r="F127" s="470"/>
      <c r="G127" s="470"/>
    </row>
    <row r="128" spans="1:7" ht="51">
      <c r="A128" s="415"/>
      <c r="B128" s="408" t="s">
        <v>261</v>
      </c>
      <c r="C128" s="410" t="s">
        <v>642</v>
      </c>
      <c r="D128" s="418"/>
      <c r="E128" s="470"/>
      <c r="F128" s="470"/>
      <c r="G128" s="470"/>
    </row>
    <row r="129" spans="1:7" ht="18.75" customHeight="1">
      <c r="A129" s="415"/>
      <c r="B129" s="410"/>
      <c r="C129" s="410" t="s">
        <v>643</v>
      </c>
      <c r="D129" s="418"/>
      <c r="E129" s="470"/>
      <c r="F129" s="470"/>
      <c r="G129" s="470"/>
    </row>
    <row r="130" spans="1:7">
      <c r="A130" s="415"/>
      <c r="B130" s="410"/>
      <c r="C130" s="410" t="s">
        <v>644</v>
      </c>
      <c r="D130" s="409" t="s">
        <v>242</v>
      </c>
      <c r="E130" s="469">
        <f>0.5*E133</f>
        <v>1833.4574999999998</v>
      </c>
      <c r="F130" s="469"/>
      <c r="G130" s="470"/>
    </row>
    <row r="131" spans="1:7" ht="21" customHeight="1">
      <c r="A131" s="415"/>
      <c r="B131" s="410"/>
      <c r="C131" s="410" t="s">
        <v>645</v>
      </c>
      <c r="D131" s="409" t="s">
        <v>242</v>
      </c>
      <c r="E131" s="469">
        <f>0.5*E133</f>
        <v>1833.4574999999998</v>
      </c>
      <c r="F131" s="469"/>
      <c r="G131" s="470"/>
    </row>
    <row r="132" spans="1:7" ht="28.5" customHeight="1">
      <c r="A132" s="415"/>
      <c r="B132" s="410"/>
      <c r="C132" s="418"/>
      <c r="D132" s="418"/>
      <c r="E132" s="470"/>
      <c r="F132" s="504"/>
      <c r="G132" s="504"/>
    </row>
    <row r="133" spans="1:7" ht="13.5" customHeight="1">
      <c r="A133" s="415"/>
      <c r="B133" s="410"/>
      <c r="C133" s="390" t="s">
        <v>304</v>
      </c>
      <c r="D133" s="409" t="s">
        <v>242</v>
      </c>
      <c r="E133" s="469">
        <f>E140*0.7</f>
        <v>3666.9149999999995</v>
      </c>
      <c r="F133" s="469"/>
      <c r="G133" s="470">
        <f>F133*E133</f>
        <v>0</v>
      </c>
    </row>
    <row r="134" spans="1:7">
      <c r="A134" s="415"/>
      <c r="B134" s="410"/>
      <c r="C134" s="418"/>
      <c r="D134" s="418"/>
      <c r="E134" s="470"/>
      <c r="F134" s="470"/>
      <c r="G134" s="470"/>
    </row>
    <row r="135" spans="1:7" ht="51">
      <c r="A135" s="415"/>
      <c r="B135" s="408" t="s">
        <v>262</v>
      </c>
      <c r="C135" s="410" t="s">
        <v>302</v>
      </c>
      <c r="D135" s="418"/>
      <c r="E135" s="470"/>
      <c r="F135" s="470"/>
      <c r="G135" s="470"/>
    </row>
    <row r="136" spans="1:7" ht="29.25" customHeight="1">
      <c r="A136" s="415"/>
      <c r="B136" s="410"/>
      <c r="C136" s="410" t="s">
        <v>303</v>
      </c>
      <c r="D136" s="418"/>
      <c r="E136" s="470"/>
      <c r="F136" s="470"/>
      <c r="G136" s="470"/>
    </row>
    <row r="137" spans="1:7">
      <c r="A137" s="415"/>
      <c r="B137" s="410"/>
      <c r="C137" s="390" t="s">
        <v>304</v>
      </c>
      <c r="D137" s="409" t="s">
        <v>242</v>
      </c>
      <c r="E137" s="469">
        <f>0.3*E140</f>
        <v>1571.5349999999999</v>
      </c>
      <c r="F137" s="469"/>
      <c r="G137" s="470">
        <f>F137*E137</f>
        <v>0</v>
      </c>
    </row>
    <row r="138" spans="1:7" ht="22.5" customHeight="1">
      <c r="A138" s="415"/>
      <c r="B138" s="410"/>
      <c r="C138" s="418"/>
      <c r="D138" s="418"/>
      <c r="E138" s="470"/>
      <c r="F138" s="470"/>
      <c r="G138" s="470"/>
    </row>
    <row r="139" spans="1:7">
      <c r="A139" s="415"/>
      <c r="B139" s="410"/>
      <c r="C139" s="418"/>
      <c r="D139" s="418"/>
      <c r="E139" s="470"/>
      <c r="F139" s="470"/>
      <c r="G139" s="470"/>
    </row>
    <row r="140" spans="1:7" ht="21" customHeight="1">
      <c r="A140" s="489" t="s">
        <v>640</v>
      </c>
      <c r="B140" s="489"/>
      <c r="C140" s="381" t="s">
        <v>646</v>
      </c>
      <c r="D140" s="505" t="s">
        <v>242</v>
      </c>
      <c r="E140" s="505">
        <f>E123*90</f>
        <v>5238.45</v>
      </c>
      <c r="F140" s="477"/>
      <c r="G140" s="504">
        <f>G137+G133</f>
        <v>0</v>
      </c>
    </row>
    <row r="141" spans="1:7">
      <c r="A141" s="506"/>
      <c r="B141" s="506"/>
      <c r="C141" s="507"/>
      <c r="D141" s="508"/>
      <c r="E141" s="509"/>
      <c r="F141" s="510"/>
      <c r="G141" s="511"/>
    </row>
    <row r="142" spans="1:7">
      <c r="A142" s="489" t="s">
        <v>647</v>
      </c>
      <c r="B142" s="512"/>
      <c r="C142" s="381" t="s">
        <v>648</v>
      </c>
      <c r="D142" s="512"/>
      <c r="E142" s="504"/>
      <c r="F142" s="504"/>
      <c r="G142" s="504"/>
    </row>
    <row r="143" spans="1:7">
      <c r="A143" s="489"/>
      <c r="B143" s="512"/>
      <c r="C143" s="381"/>
      <c r="D143" s="512"/>
      <c r="E143" s="504"/>
      <c r="F143" s="504"/>
      <c r="G143" s="504"/>
    </row>
    <row r="144" spans="1:7" ht="371.25" customHeight="1">
      <c r="A144" s="489"/>
      <c r="B144" s="512"/>
      <c r="C144" s="410" t="s">
        <v>649</v>
      </c>
      <c r="D144" s="410"/>
      <c r="E144" s="410"/>
      <c r="F144" s="410"/>
      <c r="G144" s="504"/>
    </row>
    <row r="145" spans="1:7" ht="22.5" customHeight="1">
      <c r="A145" s="513"/>
      <c r="B145" s="514"/>
      <c r="C145" s="419"/>
      <c r="D145" s="419"/>
      <c r="E145" s="515"/>
      <c r="F145" s="504"/>
      <c r="G145" s="504"/>
    </row>
    <row r="146" spans="1:7" ht="117.75" customHeight="1">
      <c r="A146" s="489"/>
      <c r="B146" s="411" t="s">
        <v>261</v>
      </c>
      <c r="C146" s="410" t="s">
        <v>650</v>
      </c>
      <c r="D146" s="512"/>
      <c r="E146" s="504"/>
      <c r="F146" s="504"/>
      <c r="G146" s="504"/>
    </row>
    <row r="147" spans="1:7" ht="15.75" customHeight="1">
      <c r="A147" s="513"/>
      <c r="B147" s="516"/>
      <c r="C147" s="410" t="s">
        <v>78</v>
      </c>
      <c r="D147" s="390" t="s">
        <v>601</v>
      </c>
      <c r="E147" s="412">
        <f>3*2</f>
        <v>6</v>
      </c>
      <c r="F147" s="469"/>
      <c r="G147" s="469">
        <f>F147*E147</f>
        <v>0</v>
      </c>
    </row>
    <row r="148" spans="1:7">
      <c r="A148" s="513"/>
      <c r="B148" s="517"/>
      <c r="C148" s="420"/>
      <c r="D148" s="440"/>
      <c r="E148" s="518"/>
      <c r="F148" s="470"/>
      <c r="G148" s="470"/>
    </row>
    <row r="149" spans="1:7" ht="27" customHeight="1">
      <c r="A149" s="489"/>
      <c r="B149" s="411" t="s">
        <v>262</v>
      </c>
      <c r="C149" s="410" t="s">
        <v>651</v>
      </c>
      <c r="D149" s="512"/>
      <c r="E149" s="504"/>
      <c r="F149" s="504"/>
      <c r="G149" s="504"/>
    </row>
    <row r="150" spans="1:7">
      <c r="A150" s="519"/>
      <c r="B150" s="520"/>
      <c r="C150" s="410" t="s">
        <v>78</v>
      </c>
      <c r="D150" s="421" t="s">
        <v>652</v>
      </c>
      <c r="E150" s="521">
        <f>(10)*2.3</f>
        <v>23</v>
      </c>
      <c r="F150" s="469"/>
      <c r="G150" s="469">
        <f>F150*E150</f>
        <v>0</v>
      </c>
    </row>
    <row r="151" spans="1:7">
      <c r="A151" s="519"/>
      <c r="B151" s="520"/>
      <c r="C151" s="422" t="s">
        <v>653</v>
      </c>
      <c r="D151" s="421" t="s">
        <v>652</v>
      </c>
      <c r="E151" s="521">
        <f>(2.9+1.9+2.9+1.9)*1.85</f>
        <v>17.760000000000002</v>
      </c>
      <c r="F151" s="469"/>
      <c r="G151" s="469">
        <f>F151*E151</f>
        <v>0</v>
      </c>
    </row>
    <row r="152" spans="1:7">
      <c r="A152" s="519"/>
      <c r="B152" s="522"/>
      <c r="C152" s="422"/>
      <c r="D152" s="421"/>
      <c r="E152" s="523"/>
      <c r="F152" s="469"/>
      <c r="G152" s="469"/>
    </row>
    <row r="153" spans="1:7" ht="18.75" customHeight="1">
      <c r="A153" s="524" t="s">
        <v>647</v>
      </c>
      <c r="B153" s="522"/>
      <c r="C153" s="381" t="s">
        <v>654</v>
      </c>
      <c r="D153" s="421"/>
      <c r="E153" s="523"/>
      <c r="F153" s="469"/>
      <c r="G153" s="525">
        <f>SUM(G146:G151)</f>
        <v>0</v>
      </c>
    </row>
    <row r="154" spans="1:7" ht="17.25" customHeight="1">
      <c r="A154" s="475"/>
      <c r="B154" s="476"/>
      <c r="C154" s="381"/>
      <c r="D154" s="477"/>
      <c r="E154" s="488"/>
      <c r="F154" s="380"/>
      <c r="G154" s="478"/>
    </row>
    <row r="155" spans="1:7" ht="32.25" customHeight="1">
      <c r="A155" s="475" t="s">
        <v>655</v>
      </c>
      <c r="B155" s="476"/>
      <c r="C155" s="381" t="s">
        <v>656</v>
      </c>
      <c r="D155" s="382" t="s">
        <v>557</v>
      </c>
      <c r="E155" s="377" t="s">
        <v>558</v>
      </c>
      <c r="F155" s="377" t="s">
        <v>559</v>
      </c>
      <c r="G155" s="378" t="s">
        <v>560</v>
      </c>
    </row>
    <row r="156" spans="1:7" ht="16.5">
      <c r="A156" s="465"/>
      <c r="B156" s="526"/>
      <c r="C156" s="423"/>
      <c r="D156" s="426"/>
      <c r="E156" s="377"/>
      <c r="F156" s="380"/>
      <c r="G156" s="378"/>
    </row>
    <row r="157" spans="1:7" ht="53.25" customHeight="1">
      <c r="A157" s="527"/>
      <c r="B157" s="528" t="s">
        <v>261</v>
      </c>
      <c r="C157" s="410" t="s">
        <v>657</v>
      </c>
      <c r="D157" s="418"/>
      <c r="E157" s="424"/>
      <c r="F157" s="424"/>
      <c r="G157" s="425"/>
    </row>
    <row r="158" spans="1:7" ht="53.25" customHeight="1">
      <c r="A158" s="527"/>
      <c r="B158" s="528"/>
      <c r="C158" s="410" t="s">
        <v>658</v>
      </c>
      <c r="D158" s="418"/>
      <c r="E158" s="424"/>
      <c r="F158" s="424"/>
      <c r="G158" s="405"/>
    </row>
    <row r="159" spans="1:7" ht="44.25" customHeight="1">
      <c r="A159" s="527"/>
      <c r="B159" s="528"/>
      <c r="C159" s="410" t="s">
        <v>659</v>
      </c>
      <c r="D159" s="418" t="s">
        <v>660</v>
      </c>
      <c r="E159" s="424">
        <v>1</v>
      </c>
      <c r="F159" s="424"/>
      <c r="G159" s="405">
        <f>F159*E159</f>
        <v>0</v>
      </c>
    </row>
    <row r="160" spans="1:7" ht="14.25" customHeight="1">
      <c r="A160" s="527"/>
      <c r="B160" s="408"/>
      <c r="C160" s="410"/>
      <c r="D160" s="418"/>
      <c r="E160" s="424"/>
      <c r="F160" s="424"/>
      <c r="G160" s="425"/>
    </row>
    <row r="161" spans="1:7" ht="42.75" customHeight="1">
      <c r="A161" s="527"/>
      <c r="B161" s="408" t="s">
        <v>262</v>
      </c>
      <c r="C161" s="410" t="s">
        <v>661</v>
      </c>
      <c r="D161" s="418" t="s">
        <v>42</v>
      </c>
      <c r="E161" s="424">
        <v>1</v>
      </c>
      <c r="F161" s="424"/>
      <c r="G161" s="405">
        <f>E161*F161</f>
        <v>0</v>
      </c>
    </row>
    <row r="162" spans="1:7" ht="51">
      <c r="A162" s="527"/>
      <c r="B162" s="528" t="s">
        <v>263</v>
      </c>
      <c r="C162" s="410" t="s">
        <v>662</v>
      </c>
      <c r="D162" s="418" t="s">
        <v>42</v>
      </c>
      <c r="E162" s="424">
        <v>1</v>
      </c>
      <c r="F162" s="424"/>
      <c r="G162" s="405">
        <f>E162*F162</f>
        <v>0</v>
      </c>
    </row>
    <row r="163" spans="1:7" ht="13.5" customHeight="1">
      <c r="A163" s="527"/>
      <c r="B163" s="528" t="s">
        <v>264</v>
      </c>
      <c r="C163" s="410" t="s">
        <v>663</v>
      </c>
      <c r="D163" s="418" t="s">
        <v>42</v>
      </c>
      <c r="E163" s="424">
        <v>1</v>
      </c>
      <c r="F163" s="424"/>
      <c r="G163" s="405">
        <f>E163*F163</f>
        <v>0</v>
      </c>
    </row>
    <row r="164" spans="1:7" ht="38.25">
      <c r="A164" s="527"/>
      <c r="B164" s="528" t="s">
        <v>265</v>
      </c>
      <c r="C164" s="410" t="s">
        <v>664</v>
      </c>
      <c r="D164" s="418" t="s">
        <v>42</v>
      </c>
      <c r="E164" s="424">
        <v>1</v>
      </c>
      <c r="F164" s="424"/>
      <c r="G164" s="405">
        <f>E164*F164</f>
        <v>0</v>
      </c>
    </row>
    <row r="165" spans="1:7" ht="127.5">
      <c r="A165" s="527"/>
      <c r="B165" s="528" t="s">
        <v>266</v>
      </c>
      <c r="C165" s="410" t="s">
        <v>665</v>
      </c>
      <c r="D165" s="418" t="s">
        <v>42</v>
      </c>
      <c r="E165" s="424">
        <v>1</v>
      </c>
      <c r="F165" s="424"/>
      <c r="G165" s="405">
        <f>E165*F165</f>
        <v>0</v>
      </c>
    </row>
    <row r="166" spans="1:7" ht="17.25" customHeight="1">
      <c r="A166" s="527"/>
      <c r="B166" s="528"/>
      <c r="C166" s="410"/>
      <c r="D166" s="418"/>
      <c r="E166" s="424"/>
      <c r="F166" s="424"/>
      <c r="G166" s="425"/>
    </row>
    <row r="167" spans="1:7" ht="16.5">
      <c r="A167" s="527" t="s">
        <v>655</v>
      </c>
      <c r="B167" s="476"/>
      <c r="C167" s="381" t="s">
        <v>666</v>
      </c>
      <c r="D167" s="477"/>
      <c r="E167" s="380"/>
      <c r="F167" s="380"/>
      <c r="G167" s="478">
        <f>SUM(G158:G165)</f>
        <v>0</v>
      </c>
    </row>
    <row r="168" spans="1:7" ht="17.25" customHeight="1">
      <c r="A168" s="527"/>
      <c r="B168" s="526"/>
      <c r="C168" s="423"/>
      <c r="D168" s="426"/>
      <c r="E168" s="377"/>
      <c r="F168" s="380"/>
      <c r="G168" s="378"/>
    </row>
    <row r="169" spans="1:7" ht="16.5">
      <c r="A169" s="527"/>
      <c r="B169" s="408"/>
      <c r="C169" s="392"/>
      <c r="D169" s="404"/>
      <c r="E169" s="469"/>
      <c r="F169" s="469"/>
      <c r="G169" s="470"/>
    </row>
    <row r="170" spans="1:7" ht="53.25" customHeight="1">
      <c r="A170" s="529" t="s">
        <v>667</v>
      </c>
      <c r="B170" s="530"/>
      <c r="C170" s="381" t="s">
        <v>668</v>
      </c>
      <c r="D170" s="486"/>
      <c r="E170" s="469"/>
      <c r="F170" s="469"/>
      <c r="G170" s="470"/>
    </row>
    <row r="171" spans="1:7" ht="16.5">
      <c r="A171" s="529"/>
      <c r="B171" s="530"/>
      <c r="C171" s="381"/>
      <c r="D171" s="486"/>
      <c r="E171" s="469"/>
      <c r="F171" s="469"/>
      <c r="G171" s="470"/>
    </row>
    <row r="172" spans="1:7" ht="27" customHeight="1">
      <c r="A172" s="529" t="s">
        <v>669</v>
      </c>
      <c r="B172" s="530"/>
      <c r="C172" s="427" t="s">
        <v>670</v>
      </c>
      <c r="D172" s="486"/>
      <c r="E172" s="469"/>
      <c r="F172" s="469"/>
      <c r="G172" s="470"/>
    </row>
    <row r="173" spans="1:7" ht="16.5">
      <c r="A173" s="529"/>
      <c r="B173" s="530"/>
      <c r="C173" s="427"/>
      <c r="D173" s="486"/>
      <c r="E173" s="469"/>
      <c r="F173" s="469"/>
      <c r="G173" s="470"/>
    </row>
    <row r="174" spans="1:7" ht="196.5" customHeight="1">
      <c r="A174" s="527"/>
      <c r="B174" s="408" t="s">
        <v>261</v>
      </c>
      <c r="C174" s="410" t="s">
        <v>671</v>
      </c>
      <c r="D174" s="409"/>
      <c r="E174" s="469"/>
      <c r="F174" s="469"/>
      <c r="G174" s="470"/>
    </row>
    <row r="175" spans="1:7" ht="15" customHeight="1">
      <c r="A175" s="428"/>
      <c r="B175" s="411"/>
      <c r="C175" s="383"/>
      <c r="D175" s="409"/>
      <c r="E175" s="469"/>
      <c r="F175" s="469"/>
      <c r="G175" s="470"/>
    </row>
    <row r="176" spans="1:7" ht="15.75" customHeight="1">
      <c r="A176" s="468"/>
      <c r="B176" s="408"/>
      <c r="C176" s="383" t="s">
        <v>672</v>
      </c>
      <c r="D176" s="406"/>
      <c r="E176" s="469"/>
      <c r="F176" s="469"/>
      <c r="G176" s="470"/>
    </row>
    <row r="177" spans="1:7" ht="16.5">
      <c r="A177" s="468"/>
      <c r="B177" s="408"/>
      <c r="C177" s="383"/>
      <c r="D177" s="406"/>
      <c r="E177" s="469"/>
      <c r="F177" s="469"/>
      <c r="G177" s="470"/>
    </row>
    <row r="178" spans="1:7" ht="15" customHeight="1">
      <c r="A178" s="527"/>
      <c r="B178" s="408"/>
      <c r="C178" s="410" t="s">
        <v>673</v>
      </c>
      <c r="D178" s="406" t="s">
        <v>564</v>
      </c>
      <c r="E178" s="424">
        <f>39.75</f>
        <v>39.75</v>
      </c>
      <c r="F178" s="424"/>
      <c r="G178" s="405">
        <f>E178*F178</f>
        <v>0</v>
      </c>
    </row>
    <row r="179" spans="1:7" ht="17.25" customHeight="1">
      <c r="A179" s="527"/>
      <c r="B179" s="408"/>
      <c r="C179" s="410" t="s">
        <v>674</v>
      </c>
      <c r="D179" s="406" t="s">
        <v>564</v>
      </c>
      <c r="E179" s="424">
        <f>13.78+8.7</f>
        <v>22.479999999999997</v>
      </c>
      <c r="F179" s="424"/>
      <c r="G179" s="405">
        <f>E179*F179</f>
        <v>0</v>
      </c>
    </row>
    <row r="180" spans="1:7" ht="16.5">
      <c r="A180" s="527"/>
      <c r="B180" s="408"/>
      <c r="C180" s="410" t="s">
        <v>675</v>
      </c>
      <c r="D180" s="406" t="s">
        <v>564</v>
      </c>
      <c r="E180" s="424">
        <f>15.4+15.85+27.85</f>
        <v>59.1</v>
      </c>
      <c r="F180" s="424"/>
      <c r="G180" s="405">
        <f>E180*F180</f>
        <v>0</v>
      </c>
    </row>
    <row r="181" spans="1:7" ht="16.5">
      <c r="A181" s="527"/>
      <c r="B181" s="408"/>
      <c r="C181" s="410"/>
      <c r="D181" s="406"/>
      <c r="E181" s="424"/>
      <c r="F181" s="424"/>
      <c r="G181" s="425"/>
    </row>
    <row r="182" spans="1:7" ht="230.25" customHeight="1">
      <c r="A182" s="531"/>
      <c r="B182" s="408" t="s">
        <v>262</v>
      </c>
      <c r="C182" s="427" t="s">
        <v>676</v>
      </c>
      <c r="D182" s="436"/>
      <c r="E182" s="488"/>
      <c r="F182" s="380"/>
      <c r="G182" s="478"/>
    </row>
    <row r="183" spans="1:7" ht="102">
      <c r="A183" s="531"/>
      <c r="B183" s="532"/>
      <c r="C183" s="429" t="s">
        <v>677</v>
      </c>
      <c r="D183" s="436"/>
      <c r="E183" s="488"/>
      <c r="F183" s="380"/>
      <c r="G183" s="478"/>
    </row>
    <row r="184" spans="1:7" ht="16.5">
      <c r="A184" s="531"/>
      <c r="B184" s="532"/>
      <c r="C184" s="429" t="s">
        <v>678</v>
      </c>
      <c r="D184" s="436"/>
      <c r="E184" s="488"/>
      <c r="F184" s="380"/>
      <c r="G184" s="478"/>
    </row>
    <row r="185" spans="1:7" ht="16.5">
      <c r="A185" s="531"/>
      <c r="B185" s="533" t="s">
        <v>679</v>
      </c>
      <c r="C185" s="410" t="s">
        <v>680</v>
      </c>
      <c r="D185" s="406" t="s">
        <v>564</v>
      </c>
      <c r="E185" s="380">
        <f>(1.45*3)+1.89+1.3+2.9</f>
        <v>10.44</v>
      </c>
      <c r="F185" s="380"/>
      <c r="G185" s="405">
        <f>F185*E185</f>
        <v>0</v>
      </c>
    </row>
    <row r="186" spans="1:7" ht="12.75" customHeight="1">
      <c r="A186" s="531"/>
      <c r="B186" s="533" t="s">
        <v>681</v>
      </c>
      <c r="C186" s="410" t="s">
        <v>682</v>
      </c>
      <c r="D186" s="406" t="s">
        <v>564</v>
      </c>
      <c r="E186" s="380">
        <f>2.26+9.3+2.3+11</f>
        <v>24.86</v>
      </c>
      <c r="F186" s="380"/>
      <c r="G186" s="405">
        <f>F186*E186</f>
        <v>0</v>
      </c>
    </row>
    <row r="187" spans="1:7" ht="16.5">
      <c r="A187" s="531"/>
      <c r="B187" s="533" t="s">
        <v>683</v>
      </c>
      <c r="C187" s="410" t="s">
        <v>684</v>
      </c>
      <c r="D187" s="406" t="s">
        <v>564</v>
      </c>
      <c r="E187" s="380">
        <f>3.65+18.25+1.8+9.1+7.3+2.5</f>
        <v>42.599999999999994</v>
      </c>
      <c r="F187" s="380"/>
      <c r="G187" s="405">
        <f>F187*E187</f>
        <v>0</v>
      </c>
    </row>
    <row r="188" spans="1:7" ht="16.5">
      <c r="A188" s="534"/>
      <c r="B188" s="533" t="s">
        <v>685</v>
      </c>
      <c r="C188" s="410" t="s">
        <v>686</v>
      </c>
      <c r="D188" s="406" t="s">
        <v>564</v>
      </c>
      <c r="E188" s="380">
        <f>7.13+17.16+7+3.08+3.24+16.63</f>
        <v>54.239999999999995</v>
      </c>
      <c r="F188" s="380"/>
      <c r="G188" s="405">
        <f>F188*E188</f>
        <v>0</v>
      </c>
    </row>
    <row r="189" spans="1:7" ht="16.5">
      <c r="A189" s="534"/>
      <c r="B189" s="533"/>
      <c r="C189" s="410"/>
      <c r="D189" s="406"/>
      <c r="E189" s="380"/>
      <c r="F189" s="380"/>
      <c r="G189" s="405"/>
    </row>
    <row r="190" spans="1:7" ht="16.5">
      <c r="A190" s="534"/>
      <c r="B190" s="533"/>
      <c r="C190" s="410" t="s">
        <v>687</v>
      </c>
      <c r="D190" s="406"/>
      <c r="E190" s="380"/>
      <c r="F190" s="380"/>
      <c r="G190" s="405"/>
    </row>
    <row r="191" spans="1:7" ht="16.5">
      <c r="A191" s="534"/>
      <c r="B191" s="533" t="s">
        <v>688</v>
      </c>
      <c r="C191" s="410" t="s">
        <v>684</v>
      </c>
      <c r="D191" s="406" t="s">
        <v>564</v>
      </c>
      <c r="E191" s="380">
        <f>1.45+20.1+1.15+2.26+16.15</f>
        <v>41.11</v>
      </c>
      <c r="F191" s="380"/>
      <c r="G191" s="405">
        <f>F191*E191</f>
        <v>0</v>
      </c>
    </row>
    <row r="192" spans="1:7" ht="16.5">
      <c r="A192" s="534"/>
      <c r="B192" s="533" t="s">
        <v>689</v>
      </c>
      <c r="C192" s="410" t="s">
        <v>686</v>
      </c>
      <c r="D192" s="406" t="s">
        <v>564</v>
      </c>
      <c r="E192" s="380">
        <f>20.86+12.7</f>
        <v>33.56</v>
      </c>
      <c r="F192" s="380"/>
      <c r="G192" s="405">
        <f>F192*E192</f>
        <v>0</v>
      </c>
    </row>
    <row r="193" spans="1:7" ht="16.5">
      <c r="A193" s="534"/>
      <c r="B193" s="533" t="s">
        <v>690</v>
      </c>
      <c r="C193" s="410" t="s">
        <v>691</v>
      </c>
      <c r="D193" s="406" t="s">
        <v>564</v>
      </c>
      <c r="E193" s="380">
        <f>8.18+1.5</f>
        <v>9.68</v>
      </c>
      <c r="F193" s="380"/>
      <c r="G193" s="405">
        <f>F193*E193</f>
        <v>0</v>
      </c>
    </row>
    <row r="194" spans="1:7" ht="16.5">
      <c r="A194" s="534"/>
      <c r="B194" s="533"/>
      <c r="C194" s="410"/>
      <c r="D194" s="406"/>
      <c r="E194" s="380"/>
      <c r="F194" s="380"/>
      <c r="G194" s="405"/>
    </row>
    <row r="195" spans="1:7" ht="16.5">
      <c r="A195" s="534"/>
      <c r="B195" s="533"/>
      <c r="C195" s="410" t="s">
        <v>692</v>
      </c>
      <c r="D195" s="406"/>
      <c r="E195" s="380"/>
      <c r="F195" s="380"/>
      <c r="G195" s="405"/>
    </row>
    <row r="196" spans="1:7" ht="18" customHeight="1">
      <c r="A196" s="534"/>
      <c r="B196" s="533" t="s">
        <v>693</v>
      </c>
      <c r="C196" s="410" t="s">
        <v>684</v>
      </c>
      <c r="D196" s="406" t="s">
        <v>564</v>
      </c>
      <c r="E196" s="380">
        <f>1.3+13.15+0.52+0.52+0.52</f>
        <v>16.010000000000002</v>
      </c>
      <c r="F196" s="380"/>
      <c r="G196" s="405">
        <f>F196*E196</f>
        <v>0</v>
      </c>
    </row>
    <row r="197" spans="1:7" ht="20.25" customHeight="1">
      <c r="A197" s="534"/>
      <c r="B197" s="533" t="s">
        <v>694</v>
      </c>
      <c r="C197" s="410" t="s">
        <v>686</v>
      </c>
      <c r="D197" s="406" t="s">
        <v>564</v>
      </c>
      <c r="E197" s="380">
        <f>16.7+0.7+9.76+24.25+6.3+13.37</f>
        <v>71.08</v>
      </c>
      <c r="F197" s="380"/>
      <c r="G197" s="405">
        <f>F197*E197</f>
        <v>0</v>
      </c>
    </row>
    <row r="198" spans="1:7" ht="15" customHeight="1">
      <c r="A198" s="534"/>
      <c r="B198" s="533"/>
      <c r="C198" s="410"/>
      <c r="D198" s="406"/>
      <c r="E198" s="380"/>
      <c r="F198" s="380"/>
      <c r="G198" s="405"/>
    </row>
    <row r="199" spans="1:7" ht="13.5" customHeight="1">
      <c r="A199" s="534"/>
      <c r="B199" s="533"/>
      <c r="C199" s="410"/>
      <c r="D199" s="406"/>
      <c r="E199" s="380"/>
      <c r="F199" s="380"/>
      <c r="G199" s="405"/>
    </row>
    <row r="200" spans="1:7" ht="93" customHeight="1">
      <c r="A200" s="527"/>
      <c r="B200" s="408" t="s">
        <v>263</v>
      </c>
      <c r="C200" s="410" t="s">
        <v>695</v>
      </c>
      <c r="D200" s="406"/>
      <c r="E200" s="424"/>
      <c r="F200" s="424"/>
      <c r="G200" s="425"/>
    </row>
    <row r="201" spans="1:7" ht="89.25">
      <c r="A201" s="527"/>
      <c r="B201" s="408"/>
      <c r="C201" s="410" t="s">
        <v>696</v>
      </c>
      <c r="D201" s="406"/>
      <c r="E201" s="424"/>
      <c r="F201" s="424"/>
      <c r="G201" s="425"/>
    </row>
    <row r="202" spans="1:7" ht="102">
      <c r="A202" s="527"/>
      <c r="B202" s="408"/>
      <c r="C202" s="410" t="s">
        <v>697</v>
      </c>
      <c r="D202" s="406"/>
      <c r="E202" s="424"/>
      <c r="F202" s="424"/>
      <c r="G202" s="425"/>
    </row>
    <row r="203" spans="1:7" ht="65.25" customHeight="1">
      <c r="A203" s="527"/>
      <c r="B203" s="408"/>
      <c r="C203" s="415" t="s">
        <v>698</v>
      </c>
      <c r="D203" s="406"/>
      <c r="E203" s="424"/>
      <c r="F203" s="424"/>
      <c r="G203" s="425"/>
    </row>
    <row r="204" spans="1:7" ht="13.5" customHeight="1">
      <c r="A204" s="527"/>
      <c r="B204" s="408"/>
      <c r="C204" s="427" t="s">
        <v>699</v>
      </c>
      <c r="D204" s="406" t="s">
        <v>42</v>
      </c>
      <c r="E204" s="424">
        <v>9</v>
      </c>
      <c r="F204" s="424"/>
      <c r="G204" s="425">
        <f>E204*F204</f>
        <v>0</v>
      </c>
    </row>
    <row r="205" spans="1:7" ht="16.5">
      <c r="A205" s="527"/>
      <c r="B205" s="408"/>
      <c r="C205" s="427" t="s">
        <v>700</v>
      </c>
      <c r="D205" s="406" t="s">
        <v>42</v>
      </c>
      <c r="E205" s="424">
        <v>13</v>
      </c>
      <c r="F205" s="424"/>
      <c r="G205" s="425">
        <f>E205*F205</f>
        <v>0</v>
      </c>
    </row>
    <row r="206" spans="1:7" ht="12" customHeight="1">
      <c r="A206" s="527"/>
      <c r="B206" s="408"/>
      <c r="C206" s="427"/>
      <c r="D206" s="406"/>
      <c r="E206" s="424"/>
      <c r="F206" s="424"/>
      <c r="G206" s="425"/>
    </row>
    <row r="207" spans="1:7" ht="109.5" customHeight="1">
      <c r="A207" s="527"/>
      <c r="B207" s="408" t="s">
        <v>264</v>
      </c>
      <c r="C207" s="427" t="s">
        <v>701</v>
      </c>
      <c r="D207" s="406"/>
      <c r="E207" s="424"/>
      <c r="F207" s="424"/>
      <c r="G207" s="425"/>
    </row>
    <row r="208" spans="1:7" ht="16.5">
      <c r="A208" s="527"/>
      <c r="B208" s="408"/>
      <c r="C208" s="427" t="s">
        <v>702</v>
      </c>
      <c r="D208" s="406" t="s">
        <v>564</v>
      </c>
      <c r="E208" s="424">
        <v>8</v>
      </c>
      <c r="F208" s="424"/>
      <c r="G208" s="425">
        <f>F208*E208</f>
        <v>0</v>
      </c>
    </row>
    <row r="209" spans="1:7" ht="15.75" customHeight="1">
      <c r="A209" s="527"/>
      <c r="B209" s="408"/>
      <c r="C209" s="427"/>
      <c r="D209" s="406"/>
      <c r="E209" s="424"/>
      <c r="F209" s="424"/>
      <c r="G209" s="425"/>
    </row>
    <row r="210" spans="1:7" ht="261" customHeight="1">
      <c r="A210" s="527"/>
      <c r="B210" s="408" t="s">
        <v>265</v>
      </c>
      <c r="C210" s="427" t="s">
        <v>703</v>
      </c>
      <c r="D210" s="406"/>
      <c r="E210" s="424"/>
      <c r="F210" s="424"/>
      <c r="G210" s="425"/>
    </row>
    <row r="211" spans="1:7" ht="17.25" customHeight="1">
      <c r="A211" s="527"/>
      <c r="B211" s="408"/>
      <c r="C211" s="427" t="s">
        <v>704</v>
      </c>
      <c r="D211" s="406" t="s">
        <v>564</v>
      </c>
      <c r="E211" s="424">
        <v>7.5</v>
      </c>
      <c r="F211" s="424"/>
      <c r="G211" s="425">
        <f>F211*E211</f>
        <v>0</v>
      </c>
    </row>
    <row r="212" spans="1:7" ht="19.5" customHeight="1">
      <c r="A212" s="527"/>
      <c r="B212" s="408"/>
      <c r="C212" s="430"/>
      <c r="D212" s="406"/>
      <c r="E212" s="424"/>
      <c r="F212" s="424"/>
      <c r="G212" s="425"/>
    </row>
    <row r="213" spans="1:7" ht="195" customHeight="1">
      <c r="A213" s="527"/>
      <c r="B213" s="535" t="s">
        <v>266</v>
      </c>
      <c r="C213" s="410" t="s">
        <v>705</v>
      </c>
      <c r="D213" s="536"/>
      <c r="E213" s="431"/>
      <c r="F213" s="431"/>
      <c r="G213" s="432"/>
    </row>
    <row r="214" spans="1:7" ht="15.75" customHeight="1">
      <c r="A214" s="527"/>
      <c r="B214" s="408"/>
      <c r="C214" s="427" t="s">
        <v>706</v>
      </c>
      <c r="D214" s="536"/>
      <c r="E214" s="431"/>
      <c r="F214" s="431"/>
      <c r="G214" s="432"/>
    </row>
    <row r="215" spans="1:7" ht="17.25" customHeight="1">
      <c r="A215" s="527"/>
      <c r="B215" s="408"/>
      <c r="C215" s="427" t="s">
        <v>707</v>
      </c>
      <c r="D215" s="406" t="s">
        <v>42</v>
      </c>
      <c r="E215" s="424">
        <v>7</v>
      </c>
      <c r="F215" s="424"/>
      <c r="G215" s="425">
        <f>E215*F215</f>
        <v>0</v>
      </c>
    </row>
    <row r="216" spans="1:7" ht="16.5">
      <c r="A216" s="527"/>
      <c r="B216" s="408"/>
      <c r="C216" s="427" t="s">
        <v>708</v>
      </c>
      <c r="D216" s="406" t="s">
        <v>42</v>
      </c>
      <c r="E216" s="424">
        <v>12</v>
      </c>
      <c r="F216" s="424"/>
      <c r="G216" s="425">
        <f>E216*F216</f>
        <v>0</v>
      </c>
    </row>
    <row r="217" spans="1:7" ht="17.25" customHeight="1">
      <c r="A217" s="527"/>
      <c r="B217" s="408"/>
      <c r="C217" s="427" t="s">
        <v>709</v>
      </c>
      <c r="D217" s="536"/>
      <c r="E217" s="431"/>
      <c r="F217" s="431"/>
      <c r="G217" s="432"/>
    </row>
    <row r="218" spans="1:7" ht="12" customHeight="1">
      <c r="A218" s="527"/>
      <c r="B218" s="408"/>
      <c r="C218" s="427" t="s">
        <v>707</v>
      </c>
      <c r="D218" s="406" t="s">
        <v>42</v>
      </c>
      <c r="E218" s="424">
        <v>2</v>
      </c>
      <c r="F218" s="424"/>
      <c r="G218" s="425">
        <f>E218*F218</f>
        <v>0</v>
      </c>
    </row>
    <row r="219" spans="1:7" ht="16.5">
      <c r="A219" s="527"/>
      <c r="B219" s="408"/>
      <c r="C219" s="427" t="s">
        <v>708</v>
      </c>
      <c r="D219" s="406" t="s">
        <v>42</v>
      </c>
      <c r="E219" s="424">
        <v>1</v>
      </c>
      <c r="F219" s="424"/>
      <c r="G219" s="425">
        <f>E219*F219</f>
        <v>0</v>
      </c>
    </row>
    <row r="220" spans="1:7" ht="11.25" customHeight="1">
      <c r="A220" s="527"/>
      <c r="B220" s="408"/>
      <c r="C220" s="427"/>
      <c r="D220" s="406"/>
      <c r="E220" s="424"/>
      <c r="F220" s="424"/>
      <c r="G220" s="425"/>
    </row>
    <row r="221" spans="1:7" ht="15" customHeight="1">
      <c r="A221" s="475"/>
      <c r="B221" s="535" t="s">
        <v>267</v>
      </c>
      <c r="C221" s="420" t="s">
        <v>710</v>
      </c>
      <c r="D221" s="409"/>
      <c r="E221" s="469"/>
      <c r="F221" s="469"/>
      <c r="G221" s="470"/>
    </row>
    <row r="222" spans="1:7" ht="16.5">
      <c r="A222" s="475"/>
      <c r="B222" s="394"/>
      <c r="C222" s="427" t="s">
        <v>711</v>
      </c>
      <c r="D222" s="409" t="s">
        <v>42</v>
      </c>
      <c r="E222" s="469">
        <v>2</v>
      </c>
      <c r="F222" s="469"/>
      <c r="G222" s="405">
        <f>E222*F222</f>
        <v>0</v>
      </c>
    </row>
    <row r="223" spans="1:7" ht="16.5" customHeight="1">
      <c r="A223" s="475"/>
      <c r="B223" s="394"/>
      <c r="C223" s="390"/>
      <c r="D223" s="409"/>
      <c r="E223" s="469"/>
      <c r="F223" s="469"/>
      <c r="G223" s="405"/>
    </row>
    <row r="224" spans="1:7" ht="146.25" customHeight="1">
      <c r="A224" s="475"/>
      <c r="B224" s="535" t="s">
        <v>270</v>
      </c>
      <c r="C224" s="410" t="s">
        <v>712</v>
      </c>
      <c r="D224" s="409"/>
      <c r="E224" s="469"/>
      <c r="F224" s="469"/>
      <c r="G224" s="470"/>
    </row>
    <row r="225" spans="1:7" ht="16.5">
      <c r="A225" s="475"/>
      <c r="B225" s="394"/>
      <c r="C225" s="427" t="s">
        <v>713</v>
      </c>
      <c r="D225" s="409" t="s">
        <v>42</v>
      </c>
      <c r="E225" s="469">
        <v>3</v>
      </c>
      <c r="F225" s="469"/>
      <c r="G225" s="405">
        <f>E225*F225</f>
        <v>0</v>
      </c>
    </row>
    <row r="226" spans="1:7" ht="15.75" customHeight="1">
      <c r="A226" s="475"/>
      <c r="B226" s="394"/>
      <c r="C226" s="390"/>
      <c r="D226" s="409"/>
      <c r="E226" s="469"/>
      <c r="F226" s="469"/>
      <c r="G226" s="405"/>
    </row>
    <row r="227" spans="1:7" ht="76.5">
      <c r="A227" s="475"/>
      <c r="B227" s="535" t="s">
        <v>271</v>
      </c>
      <c r="C227" s="422" t="s">
        <v>714</v>
      </c>
      <c r="D227" s="409"/>
      <c r="E227" s="469"/>
      <c r="F227" s="469"/>
      <c r="G227" s="470"/>
    </row>
    <row r="228" spans="1:7" ht="16.5">
      <c r="A228" s="475"/>
      <c r="B228" s="394"/>
      <c r="C228" s="390" t="s">
        <v>715</v>
      </c>
      <c r="D228" s="409" t="s">
        <v>42</v>
      </c>
      <c r="E228" s="469">
        <v>1</v>
      </c>
      <c r="F228" s="469"/>
      <c r="G228" s="405">
        <f>E228*F228</f>
        <v>0</v>
      </c>
    </row>
    <row r="229" spans="1:7" ht="9.75" customHeight="1">
      <c r="A229" s="475"/>
      <c r="B229" s="394"/>
      <c r="C229" s="390"/>
      <c r="D229" s="409"/>
      <c r="E229" s="469"/>
      <c r="F229" s="469"/>
      <c r="G229" s="405"/>
    </row>
    <row r="230" spans="1:7" ht="109.5" customHeight="1">
      <c r="A230" s="475"/>
      <c r="B230" s="535" t="s">
        <v>272</v>
      </c>
      <c r="C230" s="390" t="s">
        <v>716</v>
      </c>
      <c r="D230" s="409"/>
      <c r="E230" s="469"/>
      <c r="F230" s="469"/>
      <c r="G230" s="405"/>
    </row>
    <row r="231" spans="1:7" ht="19.5" customHeight="1">
      <c r="A231" s="475"/>
      <c r="B231" s="408"/>
      <c r="C231" s="390" t="s">
        <v>717</v>
      </c>
      <c r="D231" s="409" t="s">
        <v>42</v>
      </c>
      <c r="E231" s="469">
        <v>4</v>
      </c>
      <c r="F231" s="469"/>
      <c r="G231" s="405">
        <f>F231*E231</f>
        <v>0</v>
      </c>
    </row>
    <row r="232" spans="1:7" ht="15.75" customHeight="1">
      <c r="A232" s="475"/>
      <c r="B232" s="408"/>
      <c r="C232" s="390"/>
      <c r="D232" s="409"/>
      <c r="E232" s="469"/>
      <c r="F232" s="469"/>
      <c r="G232" s="405"/>
    </row>
    <row r="233" spans="1:7" ht="197.25" customHeight="1">
      <c r="A233" s="475"/>
      <c r="B233" s="535" t="s">
        <v>273</v>
      </c>
      <c r="C233" s="415" t="s">
        <v>718</v>
      </c>
      <c r="D233" s="409"/>
      <c r="E233" s="469"/>
      <c r="F233" s="469"/>
      <c r="G233" s="405"/>
    </row>
    <row r="234" spans="1:7" ht="16.5">
      <c r="A234" s="475"/>
      <c r="B234" s="408"/>
      <c r="C234" s="430" t="s">
        <v>719</v>
      </c>
      <c r="D234" s="409"/>
      <c r="E234" s="469"/>
      <c r="F234" s="469"/>
      <c r="G234" s="405"/>
    </row>
    <row r="235" spans="1:7" ht="19.5" customHeight="1">
      <c r="A235" s="475"/>
      <c r="B235" s="408"/>
      <c r="C235" s="430" t="s">
        <v>720</v>
      </c>
      <c r="D235" s="409"/>
      <c r="E235" s="469"/>
      <c r="F235" s="469"/>
      <c r="G235" s="405"/>
    </row>
    <row r="236" spans="1:7" ht="16.5" customHeight="1">
      <c r="A236" s="475"/>
      <c r="B236" s="408"/>
      <c r="C236" s="433" t="s">
        <v>721</v>
      </c>
      <c r="D236" s="409"/>
      <c r="E236" s="469"/>
      <c r="F236" s="469"/>
      <c r="G236" s="405"/>
    </row>
    <row r="237" spans="1:7" ht="13.5" customHeight="1">
      <c r="A237" s="475"/>
      <c r="B237" s="408"/>
      <c r="C237" s="433" t="s">
        <v>722</v>
      </c>
      <c r="D237" s="409"/>
      <c r="E237" s="469"/>
      <c r="F237" s="469"/>
      <c r="G237" s="405"/>
    </row>
    <row r="238" spans="1:7" ht="17.25" customHeight="1">
      <c r="A238" s="475"/>
      <c r="B238" s="408"/>
      <c r="C238" s="433" t="s">
        <v>723</v>
      </c>
      <c r="D238" s="409"/>
      <c r="E238" s="469"/>
      <c r="F238" s="469"/>
      <c r="G238" s="405"/>
    </row>
    <row r="239" spans="1:7" ht="16.5">
      <c r="A239" s="475"/>
      <c r="B239" s="408"/>
      <c r="C239" s="433" t="s">
        <v>724</v>
      </c>
      <c r="D239" s="409"/>
      <c r="E239" s="469"/>
      <c r="F239" s="469"/>
      <c r="G239" s="405"/>
    </row>
    <row r="240" spans="1:7" ht="16.5">
      <c r="A240" s="475"/>
      <c r="B240" s="408"/>
      <c r="C240" s="433" t="s">
        <v>725</v>
      </c>
      <c r="D240" s="409"/>
      <c r="E240" s="469"/>
      <c r="F240" s="469"/>
      <c r="G240" s="405"/>
    </row>
    <row r="241" spans="1:7" ht="15.75" customHeight="1">
      <c r="A241" s="475"/>
      <c r="B241" s="408"/>
      <c r="C241" s="433" t="s">
        <v>726</v>
      </c>
      <c r="D241" s="409"/>
      <c r="E241" s="469"/>
      <c r="F241" s="469"/>
      <c r="G241" s="405"/>
    </row>
    <row r="242" spans="1:7" ht="13.5" customHeight="1">
      <c r="A242" s="475"/>
      <c r="B242" s="408"/>
      <c r="C242" s="433" t="s">
        <v>727</v>
      </c>
      <c r="D242" s="537"/>
      <c r="E242" s="537"/>
      <c r="F242" s="469"/>
      <c r="G242" s="405"/>
    </row>
    <row r="243" spans="1:7" ht="16.5">
      <c r="A243" s="475"/>
      <c r="B243" s="408"/>
      <c r="C243" s="390"/>
      <c r="D243" s="409" t="s">
        <v>42</v>
      </c>
      <c r="E243" s="469">
        <v>2</v>
      </c>
      <c r="F243" s="469"/>
      <c r="G243" s="405">
        <f>F243*E243</f>
        <v>0</v>
      </c>
    </row>
    <row r="244" spans="1:7" ht="16.5">
      <c r="A244" s="475"/>
      <c r="B244" s="408"/>
      <c r="C244" s="390"/>
      <c r="D244" s="409"/>
      <c r="E244" s="469"/>
      <c r="F244" s="469"/>
      <c r="G244" s="405"/>
    </row>
    <row r="245" spans="1:7" ht="140.25">
      <c r="A245" s="475"/>
      <c r="B245" s="408">
        <v>14</v>
      </c>
      <c r="C245" s="434" t="s">
        <v>728</v>
      </c>
      <c r="D245" s="409"/>
      <c r="E245" s="469"/>
      <c r="F245" s="469"/>
      <c r="G245" s="405"/>
    </row>
    <row r="246" spans="1:7" ht="15.75" customHeight="1">
      <c r="A246" s="475"/>
      <c r="B246" s="408"/>
      <c r="C246" s="434" t="s">
        <v>729</v>
      </c>
      <c r="D246" s="409"/>
      <c r="E246" s="469"/>
      <c r="F246" s="469"/>
      <c r="G246" s="405"/>
    </row>
    <row r="247" spans="1:7" ht="16.5">
      <c r="A247" s="475"/>
      <c r="B247" s="408"/>
      <c r="C247" s="435" t="s">
        <v>730</v>
      </c>
      <c r="D247" s="409" t="s">
        <v>731</v>
      </c>
      <c r="E247" s="469">
        <v>2</v>
      </c>
      <c r="F247" s="469"/>
      <c r="G247" s="405">
        <f>F247*E247</f>
        <v>0</v>
      </c>
    </row>
    <row r="248" spans="1:7" ht="15.75" customHeight="1">
      <c r="A248" s="475"/>
      <c r="B248" s="408"/>
      <c r="C248" s="390"/>
      <c r="D248" s="409"/>
      <c r="E248" s="469"/>
      <c r="F248" s="469"/>
      <c r="G248" s="405"/>
    </row>
    <row r="249" spans="1:7" ht="16.5">
      <c r="A249" s="527"/>
      <c r="B249" s="408"/>
      <c r="C249" s="427"/>
      <c r="D249" s="536"/>
      <c r="E249" s="431"/>
      <c r="F249" s="431"/>
      <c r="G249" s="432"/>
    </row>
    <row r="250" spans="1:7" ht="16.5" customHeight="1">
      <c r="A250" s="527"/>
      <c r="B250" s="528"/>
      <c r="C250" s="381" t="s">
        <v>732</v>
      </c>
      <c r="D250" s="477"/>
      <c r="E250" s="380"/>
      <c r="F250" s="380"/>
      <c r="G250" s="478">
        <f>SUM(G178:G247)</f>
        <v>0</v>
      </c>
    </row>
    <row r="251" spans="1:7">
      <c r="A251" s="436"/>
      <c r="B251" s="538"/>
      <c r="C251" s="436"/>
      <c r="D251" s="436"/>
      <c r="E251" s="488"/>
      <c r="F251" s="380"/>
      <c r="G251" s="478"/>
    </row>
    <row r="252" spans="1:7" ht="21" customHeight="1">
      <c r="A252" s="529" t="s">
        <v>733</v>
      </c>
      <c r="B252" s="408"/>
      <c r="C252" s="437" t="s">
        <v>734</v>
      </c>
      <c r="D252" s="437"/>
      <c r="E252" s="438"/>
      <c r="F252" s="439"/>
      <c r="G252" s="425"/>
    </row>
    <row r="253" spans="1:7" ht="15.75" customHeight="1">
      <c r="A253" s="401"/>
      <c r="B253" s="485"/>
      <c r="C253" s="420"/>
      <c r="D253" s="440"/>
      <c r="E253" s="424"/>
      <c r="F253" s="424"/>
      <c r="G253" s="425"/>
    </row>
    <row r="254" spans="1:7" ht="65.25" customHeight="1">
      <c r="A254" s="400"/>
      <c r="B254" s="408"/>
      <c r="C254" s="437" t="s">
        <v>735</v>
      </c>
      <c r="D254" s="437"/>
      <c r="E254" s="438"/>
      <c r="F254" s="439"/>
      <c r="G254" s="425"/>
    </row>
    <row r="255" spans="1:7" ht="18" customHeight="1">
      <c r="A255" s="401"/>
      <c r="B255" s="485"/>
      <c r="C255" s="420"/>
      <c r="D255" s="440"/>
      <c r="E255" s="424"/>
      <c r="F255" s="424"/>
      <c r="G255" s="425"/>
    </row>
    <row r="256" spans="1:7" ht="171" customHeight="1">
      <c r="A256" s="400"/>
      <c r="B256" s="408" t="s">
        <v>261</v>
      </c>
      <c r="C256" s="410" t="s">
        <v>736</v>
      </c>
      <c r="D256" s="418"/>
      <c r="E256" s="424"/>
      <c r="F256" s="424"/>
      <c r="G256" s="425"/>
    </row>
    <row r="257" spans="1:7" ht="16.5">
      <c r="A257" s="400"/>
      <c r="B257" s="408" t="s">
        <v>679</v>
      </c>
      <c r="C257" s="410" t="s">
        <v>737</v>
      </c>
      <c r="D257" s="406" t="s">
        <v>564</v>
      </c>
      <c r="E257" s="424">
        <f>(0.2+1.5)+(0.5+1+0.5+2.74+1.84+0.5+0.83+0.5+1.44+0.5+3.04+0.5+1.71+0.5+1.8+0.5+0.7+0.7+1.5+1.71+0.5+1.8+0.5+0.7+0.7+1.5+0.5+1.81+0.5)+(2.89+0.5+0.5+0.5+0.7+1.65+0.5+0.7+2.14+0.5+1.26+0.5)+0.5+0.5+2.54+0.5</f>
        <v>49.6</v>
      </c>
      <c r="F257" s="424"/>
      <c r="G257" s="425">
        <f>E257*F257</f>
        <v>0</v>
      </c>
    </row>
    <row r="258" spans="1:7" ht="17.25" customHeight="1">
      <c r="A258" s="400"/>
      <c r="B258" s="408" t="s">
        <v>681</v>
      </c>
      <c r="C258" s="410" t="s">
        <v>738</v>
      </c>
      <c r="D258" s="406" t="s">
        <v>564</v>
      </c>
      <c r="E258" s="424">
        <f>(0.26+1.5+1.5+1.3+0.26+1.5+1.5+3+0.5+4.72)+(1.9+1.9)</f>
        <v>19.84</v>
      </c>
      <c r="F258" s="424"/>
      <c r="G258" s="425">
        <f>E258*F258</f>
        <v>0</v>
      </c>
    </row>
    <row r="259" spans="1:7" ht="16.5">
      <c r="A259" s="400"/>
      <c r="B259" s="408" t="s">
        <v>683</v>
      </c>
      <c r="C259" s="410" t="s">
        <v>739</v>
      </c>
      <c r="D259" s="406" t="s">
        <v>564</v>
      </c>
      <c r="E259" s="424">
        <f>(1.5+3.67+1.5+0.32+1.5+0.48+1.14+1.74+6.52+1.5+3.02+3.22+1.5+1.4+1.5+0.65+1.5+0.48+1.14+3.45+0.62+1.5+7.62)+(0.5+2.46+0.5+1.81+1.21+1.2)</f>
        <v>55.149999999999991</v>
      </c>
      <c r="F259" s="424"/>
      <c r="G259" s="425">
        <f>E259*F259</f>
        <v>0</v>
      </c>
    </row>
    <row r="260" spans="1:7" ht="15.75" customHeight="1">
      <c r="A260" s="400"/>
      <c r="B260" s="408" t="s">
        <v>685</v>
      </c>
      <c r="C260" s="410" t="s">
        <v>740</v>
      </c>
      <c r="D260" s="406" t="s">
        <v>564</v>
      </c>
      <c r="E260" s="424">
        <f>(3.3+9.5)+6.5+6.5+6.25</f>
        <v>32.049999999999997</v>
      </c>
      <c r="F260" s="424"/>
      <c r="G260" s="425">
        <f>E260*F260</f>
        <v>0</v>
      </c>
    </row>
    <row r="261" spans="1:7" ht="16.5">
      <c r="A261" s="400"/>
      <c r="B261" s="408"/>
      <c r="C261" s="410"/>
      <c r="D261" s="539"/>
      <c r="E261" s="441"/>
      <c r="F261" s="441"/>
      <c r="G261" s="442"/>
    </row>
    <row r="262" spans="1:7" ht="178.5">
      <c r="A262" s="400"/>
      <c r="B262" s="408" t="s">
        <v>262</v>
      </c>
      <c r="C262" s="410" t="s">
        <v>741</v>
      </c>
      <c r="D262" s="539"/>
      <c r="E262" s="441"/>
      <c r="F262" s="441"/>
      <c r="G262" s="442"/>
    </row>
    <row r="263" spans="1:7" ht="16.5">
      <c r="A263" s="400"/>
      <c r="B263" s="408"/>
      <c r="C263" s="410"/>
      <c r="D263" s="539"/>
      <c r="E263" s="441"/>
      <c r="F263" s="441"/>
      <c r="G263" s="442"/>
    </row>
    <row r="264" spans="1:7" ht="16.5">
      <c r="A264" s="401"/>
      <c r="B264" s="408" t="s">
        <v>142</v>
      </c>
      <c r="C264" s="437" t="s">
        <v>742</v>
      </c>
      <c r="D264" s="440"/>
      <c r="E264" s="424"/>
      <c r="F264" s="424"/>
      <c r="G264" s="425"/>
    </row>
    <row r="265" spans="1:7" ht="14.25" customHeight="1">
      <c r="A265" s="401"/>
      <c r="B265" s="408" t="s">
        <v>679</v>
      </c>
      <c r="C265" s="410" t="s">
        <v>743</v>
      </c>
      <c r="D265" s="406" t="s">
        <v>564</v>
      </c>
      <c r="E265" s="424">
        <f>(34+11.6)*1.1</f>
        <v>50.160000000000004</v>
      </c>
      <c r="F265" s="424"/>
      <c r="G265" s="425">
        <f>F265*E265</f>
        <v>0</v>
      </c>
    </row>
    <row r="266" spans="1:7" ht="16.5">
      <c r="A266" s="475"/>
      <c r="B266" s="408" t="s">
        <v>681</v>
      </c>
      <c r="C266" s="410" t="s">
        <v>744</v>
      </c>
      <c r="D266" s="406" t="s">
        <v>564</v>
      </c>
      <c r="E266" s="424">
        <f>(8.76+4.38+1.88+0.5+2+0.5+0.5+0.5+11.6+3.36+0.5+0.5+0.5+0.7+0.37+2.84+6.19+(6*0.5)+0.8+17.48+0.8+1.25+0.5+12.08+1.86+9.12+1.93+1.65+1+(0.5*8)+6.16+0.55+(0.5+0.5+0.5+0.5)-11.6)*1.1</f>
        <v>107.97600000000003</v>
      </c>
      <c r="F266" s="424"/>
      <c r="G266" s="425">
        <f>E266*F266</f>
        <v>0</v>
      </c>
    </row>
    <row r="267" spans="1:7" ht="16.5">
      <c r="A267" s="475"/>
      <c r="B267" s="408" t="s">
        <v>683</v>
      </c>
      <c r="C267" s="410" t="s">
        <v>745</v>
      </c>
      <c r="D267" s="406" t="s">
        <v>564</v>
      </c>
      <c r="E267" s="424">
        <f>((0.15*7)+(0.15*2)+(0.15*7)+(0.15*24))*1.1</f>
        <v>6.6000000000000005</v>
      </c>
      <c r="F267" s="424"/>
      <c r="G267" s="425">
        <f>E267*F267</f>
        <v>0</v>
      </c>
    </row>
    <row r="268" spans="1:7" ht="16.5">
      <c r="A268" s="475"/>
      <c r="B268" s="408"/>
      <c r="C268" s="410"/>
      <c r="D268" s="406"/>
      <c r="E268" s="424"/>
      <c r="F268" s="424"/>
      <c r="G268" s="425"/>
    </row>
    <row r="269" spans="1:7" ht="16.5">
      <c r="A269" s="475"/>
      <c r="B269" s="408" t="s">
        <v>143</v>
      </c>
      <c r="C269" s="410" t="s">
        <v>746</v>
      </c>
      <c r="D269" s="406"/>
      <c r="E269" s="424"/>
      <c r="F269" s="424"/>
      <c r="G269" s="425"/>
    </row>
    <row r="270" spans="1:7" ht="15.75" customHeight="1">
      <c r="A270" s="475"/>
      <c r="B270" s="408" t="s">
        <v>679</v>
      </c>
      <c r="C270" s="410" t="s">
        <v>743</v>
      </c>
      <c r="D270" s="406" t="s">
        <v>564</v>
      </c>
      <c r="E270" s="424">
        <f>(5.37+7.4+(1.5+0.8+(0.5*4)))*1.1</f>
        <v>18.777000000000001</v>
      </c>
      <c r="F270" s="424"/>
      <c r="G270" s="425">
        <f>F270*E270</f>
        <v>0</v>
      </c>
    </row>
    <row r="271" spans="1:7" ht="16.5">
      <c r="A271" s="475"/>
      <c r="B271" s="408" t="s">
        <v>681</v>
      </c>
      <c r="C271" s="410" t="s">
        <v>744</v>
      </c>
      <c r="D271" s="406" t="s">
        <v>564</v>
      </c>
      <c r="E271" s="424">
        <f>(24.34+1.53+1.19+(0.5+0.5+0.5+0.5+0.5+0.5)+15.11+27.06+(1.5+(9*0.5)+1.5)+14.61+(0.5*5)+4.62+1.52)*1.1</f>
        <v>113.27800000000002</v>
      </c>
      <c r="F271" s="424"/>
      <c r="G271" s="425">
        <f>E271*F271</f>
        <v>0</v>
      </c>
    </row>
    <row r="272" spans="1:7" ht="16.5">
      <c r="A272" s="475"/>
      <c r="B272" s="408" t="s">
        <v>683</v>
      </c>
      <c r="C272" s="410" t="s">
        <v>745</v>
      </c>
      <c r="D272" s="406" t="s">
        <v>564</v>
      </c>
      <c r="E272" s="424">
        <f>(0.15*27)*1.1</f>
        <v>4.4550000000000001</v>
      </c>
      <c r="F272" s="424"/>
      <c r="G272" s="425">
        <f>E272*F272</f>
        <v>0</v>
      </c>
    </row>
    <row r="273" spans="1:7" ht="14.25" customHeight="1">
      <c r="A273" s="475"/>
      <c r="B273" s="408"/>
      <c r="C273" s="410"/>
      <c r="D273" s="406"/>
      <c r="E273" s="424"/>
      <c r="F273" s="424"/>
      <c r="G273" s="425"/>
    </row>
    <row r="274" spans="1:7" ht="16.5">
      <c r="A274" s="475"/>
      <c r="B274" s="408" t="s">
        <v>144</v>
      </c>
      <c r="C274" s="410" t="s">
        <v>747</v>
      </c>
      <c r="D274" s="406"/>
      <c r="E274" s="424"/>
      <c r="F274" s="424"/>
      <c r="G274" s="425"/>
    </row>
    <row r="275" spans="1:7" ht="15" customHeight="1">
      <c r="A275" s="475"/>
      <c r="B275" s="408" t="s">
        <v>679</v>
      </c>
      <c r="C275" s="410" t="s">
        <v>745</v>
      </c>
      <c r="D275" s="406" t="s">
        <v>564</v>
      </c>
      <c r="E275" s="424">
        <f>(49.44+1.57+2.6+9.32+7.1+20.54+6.75+1.58+1.24)*1.1</f>
        <v>110.154</v>
      </c>
      <c r="F275" s="424"/>
      <c r="G275" s="425">
        <f>F275*E275</f>
        <v>0</v>
      </c>
    </row>
    <row r="276" spans="1:7" ht="15.75" customHeight="1">
      <c r="A276" s="487"/>
      <c r="B276" s="485"/>
      <c r="C276" s="420"/>
      <c r="D276" s="440"/>
      <c r="E276" s="424"/>
      <c r="F276" s="424"/>
      <c r="G276" s="425"/>
    </row>
    <row r="277" spans="1:7" ht="54.75" customHeight="1">
      <c r="A277" s="475"/>
      <c r="B277" s="408" t="s">
        <v>263</v>
      </c>
      <c r="C277" s="410" t="s">
        <v>748</v>
      </c>
      <c r="D277" s="418"/>
      <c r="E277" s="424"/>
      <c r="F277" s="424"/>
      <c r="G277" s="425"/>
    </row>
    <row r="278" spans="1:7" ht="12.75" customHeight="1">
      <c r="A278" s="475"/>
      <c r="B278" s="408"/>
      <c r="C278" s="410"/>
      <c r="D278" s="418"/>
      <c r="E278" s="424"/>
      <c r="F278" s="424"/>
      <c r="G278" s="425"/>
    </row>
    <row r="279" spans="1:7" ht="16.5">
      <c r="A279" s="475"/>
      <c r="B279" s="540" t="s">
        <v>310</v>
      </c>
      <c r="C279" s="410" t="s">
        <v>742</v>
      </c>
      <c r="D279" s="406"/>
      <c r="E279" s="424"/>
      <c r="F279" s="424"/>
      <c r="G279" s="425"/>
    </row>
    <row r="280" spans="1:7" ht="15" customHeight="1">
      <c r="A280" s="475"/>
      <c r="B280" s="408" t="s">
        <v>679</v>
      </c>
      <c r="C280" s="410" t="s">
        <v>749</v>
      </c>
      <c r="D280" s="406" t="s">
        <v>564</v>
      </c>
      <c r="E280" s="424">
        <f>E265</f>
        <v>50.160000000000004</v>
      </c>
      <c r="F280" s="424"/>
      <c r="G280" s="425">
        <f>E280*F280</f>
        <v>0</v>
      </c>
    </row>
    <row r="281" spans="1:7" ht="13.5" customHeight="1">
      <c r="A281" s="475"/>
      <c r="B281" s="408" t="s">
        <v>681</v>
      </c>
      <c r="C281" s="410" t="s">
        <v>750</v>
      </c>
      <c r="D281" s="406" t="s">
        <v>564</v>
      </c>
      <c r="E281" s="424">
        <f>E266</f>
        <v>107.97600000000003</v>
      </c>
      <c r="F281" s="424"/>
      <c r="G281" s="425">
        <f>E281*F281</f>
        <v>0</v>
      </c>
    </row>
    <row r="282" spans="1:7" ht="13.5" customHeight="1">
      <c r="A282" s="475"/>
      <c r="B282" s="408" t="s">
        <v>683</v>
      </c>
      <c r="C282" s="410" t="s">
        <v>751</v>
      </c>
      <c r="D282" s="406" t="s">
        <v>564</v>
      </c>
      <c r="E282" s="424">
        <f>E267</f>
        <v>6.6000000000000005</v>
      </c>
      <c r="F282" s="424"/>
      <c r="G282" s="425">
        <f>E282*F282</f>
        <v>0</v>
      </c>
    </row>
    <row r="283" spans="1:7" ht="16.5">
      <c r="A283" s="487"/>
      <c r="B283" s="485"/>
      <c r="C283" s="443" t="s">
        <v>752</v>
      </c>
      <c r="D283" s="443"/>
      <c r="E283" s="438"/>
      <c r="F283" s="439"/>
      <c r="G283" s="425"/>
    </row>
    <row r="284" spans="1:7" ht="14.25" customHeight="1">
      <c r="A284" s="541"/>
      <c r="B284" s="408" t="s">
        <v>311</v>
      </c>
      <c r="C284" s="437" t="s">
        <v>746</v>
      </c>
      <c r="D284" s="443"/>
      <c r="E284" s="438"/>
      <c r="F284" s="439"/>
      <c r="G284" s="425"/>
    </row>
    <row r="285" spans="1:7" ht="15" customHeight="1">
      <c r="A285" s="542"/>
      <c r="B285" s="408" t="s">
        <v>679</v>
      </c>
      <c r="C285" s="410" t="s">
        <v>750</v>
      </c>
      <c r="D285" s="406" t="s">
        <v>564</v>
      </c>
      <c r="E285" s="424">
        <f>E271</f>
        <v>113.27800000000002</v>
      </c>
      <c r="F285" s="424"/>
      <c r="G285" s="425">
        <f>E285*F285</f>
        <v>0</v>
      </c>
    </row>
    <row r="286" spans="1:7" ht="16.5">
      <c r="A286" s="542"/>
      <c r="B286" s="408" t="s">
        <v>681</v>
      </c>
      <c r="C286" s="410" t="s">
        <v>751</v>
      </c>
      <c r="D286" s="406" t="s">
        <v>564</v>
      </c>
      <c r="E286" s="424">
        <f>E272</f>
        <v>4.4550000000000001</v>
      </c>
      <c r="F286" s="424"/>
      <c r="G286" s="425">
        <f>E286*F286</f>
        <v>0</v>
      </c>
    </row>
    <row r="287" spans="1:7" ht="14.25" customHeight="1">
      <c r="A287" s="475"/>
      <c r="B287" s="408"/>
      <c r="C287" s="410"/>
      <c r="D287" s="406"/>
      <c r="E287" s="424"/>
      <c r="F287" s="424"/>
      <c r="G287" s="425"/>
    </row>
    <row r="288" spans="1:7" ht="16.5">
      <c r="A288" s="475"/>
      <c r="B288" s="408" t="s">
        <v>312</v>
      </c>
      <c r="C288" s="410" t="s">
        <v>747</v>
      </c>
      <c r="D288" s="406"/>
      <c r="E288" s="424"/>
      <c r="F288" s="424"/>
      <c r="G288" s="425"/>
    </row>
    <row r="289" spans="1:7" ht="16.5">
      <c r="A289" s="475"/>
      <c r="B289" s="408" t="s">
        <v>679</v>
      </c>
      <c r="C289" s="410" t="s">
        <v>753</v>
      </c>
      <c r="D289" s="406" t="s">
        <v>564</v>
      </c>
      <c r="E289" s="424">
        <f>E275</f>
        <v>110.154</v>
      </c>
      <c r="F289" s="424"/>
      <c r="G289" s="425">
        <f>F289*E289</f>
        <v>0</v>
      </c>
    </row>
    <row r="290" spans="1:7" ht="12.75" customHeight="1">
      <c r="A290" s="541"/>
      <c r="B290" s="485"/>
      <c r="C290" s="443" t="s">
        <v>752</v>
      </c>
      <c r="D290" s="443"/>
      <c r="E290" s="438"/>
      <c r="F290" s="439"/>
      <c r="G290" s="425"/>
    </row>
    <row r="291" spans="1:7" ht="108.75" customHeight="1">
      <c r="A291" s="541"/>
      <c r="B291" s="543" t="s">
        <v>264</v>
      </c>
      <c r="C291" s="444" t="s">
        <v>754</v>
      </c>
      <c r="D291" s="443"/>
      <c r="E291" s="438"/>
      <c r="F291" s="439"/>
      <c r="G291" s="425"/>
    </row>
    <row r="292" spans="1:7" ht="17.25" customHeight="1">
      <c r="A292" s="541"/>
      <c r="B292" s="543"/>
      <c r="C292" s="445" t="s">
        <v>755</v>
      </c>
      <c r="D292" s="406" t="s">
        <v>564</v>
      </c>
      <c r="E292" s="446">
        <f>(33.61+0.6+8.14+1.5+1.5+1.5)*1.1</f>
        <v>51.535000000000004</v>
      </c>
      <c r="F292" s="439"/>
      <c r="G292" s="425">
        <f>F292*E292</f>
        <v>0</v>
      </c>
    </row>
    <row r="293" spans="1:7" ht="15.75" customHeight="1">
      <c r="A293" s="541"/>
      <c r="B293" s="485"/>
      <c r="C293" s="443"/>
      <c r="D293" s="443"/>
      <c r="E293" s="438"/>
      <c r="F293" s="439"/>
      <c r="G293" s="425"/>
    </row>
    <row r="294" spans="1:7" ht="14.25" customHeight="1">
      <c r="A294" s="537"/>
      <c r="B294" s="543" t="s">
        <v>265</v>
      </c>
      <c r="C294" s="444" t="s">
        <v>756</v>
      </c>
      <c r="D294" s="447" t="s">
        <v>42</v>
      </c>
      <c r="E294" s="424">
        <v>3</v>
      </c>
      <c r="F294" s="424"/>
      <c r="G294" s="425">
        <f>E294*F294</f>
        <v>0</v>
      </c>
    </row>
    <row r="295" spans="1:7" ht="12.75" customHeight="1">
      <c r="A295" s="537"/>
      <c r="B295" s="543"/>
      <c r="C295" s="444"/>
      <c r="D295" s="444"/>
      <c r="E295" s="448"/>
      <c r="F295" s="439"/>
      <c r="G295" s="425"/>
    </row>
    <row r="296" spans="1:7" ht="14.25" customHeight="1">
      <c r="A296" s="537"/>
      <c r="B296" s="543" t="s">
        <v>266</v>
      </c>
      <c r="C296" s="444" t="s">
        <v>757</v>
      </c>
      <c r="D296" s="447"/>
      <c r="E296" s="424"/>
      <c r="F296" s="424"/>
      <c r="G296" s="425">
        <f>E296*F296</f>
        <v>0</v>
      </c>
    </row>
    <row r="297" spans="1:7" ht="16.5">
      <c r="A297" s="537"/>
      <c r="B297" s="543"/>
      <c r="C297" s="444" t="s">
        <v>758</v>
      </c>
      <c r="D297" s="447" t="s">
        <v>42</v>
      </c>
      <c r="E297" s="424">
        <v>3</v>
      </c>
      <c r="F297" s="424"/>
      <c r="G297" s="425">
        <f>E297*F297</f>
        <v>0</v>
      </c>
    </row>
    <row r="298" spans="1:7" ht="17.25" customHeight="1">
      <c r="A298" s="537"/>
      <c r="B298" s="543"/>
      <c r="C298" s="444" t="s">
        <v>759</v>
      </c>
      <c r="D298" s="447" t="s">
        <v>42</v>
      </c>
      <c r="E298" s="424">
        <v>4</v>
      </c>
      <c r="F298" s="424"/>
      <c r="G298" s="425">
        <f>E298*F298</f>
        <v>0</v>
      </c>
    </row>
    <row r="299" spans="1:7" ht="16.5">
      <c r="A299" s="537"/>
      <c r="B299" s="543"/>
      <c r="C299" s="444" t="s">
        <v>760</v>
      </c>
      <c r="D299" s="447" t="s">
        <v>42</v>
      </c>
      <c r="E299" s="424">
        <v>1</v>
      </c>
      <c r="F299" s="424"/>
      <c r="G299" s="425">
        <f>E299*F299</f>
        <v>0</v>
      </c>
    </row>
    <row r="300" spans="1:7" ht="15" customHeight="1">
      <c r="A300" s="537"/>
      <c r="B300" s="543"/>
      <c r="C300" s="444" t="s">
        <v>761</v>
      </c>
      <c r="D300" s="447" t="s">
        <v>42</v>
      </c>
      <c r="E300" s="424">
        <v>3</v>
      </c>
      <c r="F300" s="424"/>
      <c r="G300" s="425">
        <f>E300*F300</f>
        <v>0</v>
      </c>
    </row>
    <row r="301" spans="1:7" ht="16.5">
      <c r="A301" s="537"/>
      <c r="B301" s="543"/>
      <c r="C301" s="444"/>
      <c r="D301" s="444"/>
      <c r="E301" s="448"/>
      <c r="F301" s="439"/>
      <c r="G301" s="425"/>
    </row>
    <row r="302" spans="1:7" ht="14.25" customHeight="1">
      <c r="A302" s="436"/>
      <c r="B302" s="538"/>
      <c r="C302" s="436" t="s">
        <v>762</v>
      </c>
      <c r="D302" s="436"/>
      <c r="E302" s="488"/>
      <c r="F302" s="380"/>
      <c r="G302" s="478">
        <f>SUM(G256:G300)</f>
        <v>0</v>
      </c>
    </row>
    <row r="303" spans="1:7" ht="16.5">
      <c r="A303" s="468"/>
      <c r="B303" s="485"/>
      <c r="C303" s="440"/>
      <c r="D303" s="440"/>
      <c r="E303" s="491"/>
      <c r="F303" s="491"/>
      <c r="G303" s="470"/>
    </row>
    <row r="304" spans="1:7" ht="18.75" customHeight="1">
      <c r="A304" s="436" t="s">
        <v>763</v>
      </c>
      <c r="B304" s="408"/>
      <c r="C304" s="430" t="s">
        <v>764</v>
      </c>
      <c r="D304" s="410"/>
      <c r="E304" s="409"/>
      <c r="F304" s="424"/>
      <c r="G304" s="425"/>
    </row>
    <row r="305" spans="1:7" ht="11.25" customHeight="1">
      <c r="A305" s="436"/>
      <c r="B305" s="408"/>
      <c r="C305" s="430"/>
      <c r="D305" s="410"/>
      <c r="E305" s="409"/>
      <c r="F305" s="424"/>
      <c r="G305" s="425"/>
    </row>
    <row r="306" spans="1:7" ht="16.5">
      <c r="A306" s="468"/>
      <c r="B306" s="408"/>
      <c r="C306" s="437" t="s">
        <v>765</v>
      </c>
      <c r="D306" s="437"/>
      <c r="E306" s="438"/>
      <c r="F306" s="439"/>
      <c r="G306" s="425"/>
    </row>
    <row r="307" spans="1:7" ht="16.5">
      <c r="A307" s="468"/>
      <c r="B307" s="408"/>
      <c r="C307" s="410"/>
      <c r="D307" s="418"/>
      <c r="E307" s="424"/>
      <c r="F307" s="424"/>
      <c r="G307" s="425"/>
    </row>
    <row r="308" spans="1:7" ht="117.75" customHeight="1">
      <c r="A308" s="468"/>
      <c r="B308" s="408"/>
      <c r="C308" s="437" t="s">
        <v>766</v>
      </c>
      <c r="D308" s="437"/>
      <c r="E308" s="438"/>
      <c r="F308" s="439"/>
      <c r="G308" s="425"/>
    </row>
    <row r="309" spans="1:7" ht="153">
      <c r="A309" s="468"/>
      <c r="B309" s="408" t="s">
        <v>261</v>
      </c>
      <c r="C309" s="410" t="s">
        <v>767</v>
      </c>
      <c r="D309" s="437"/>
      <c r="E309" s="438"/>
      <c r="F309" s="439"/>
      <c r="G309" s="425"/>
    </row>
    <row r="310" spans="1:7" ht="16.5">
      <c r="A310" s="468"/>
      <c r="B310" s="408"/>
      <c r="C310" s="410"/>
      <c r="D310" s="437" t="s">
        <v>42</v>
      </c>
      <c r="E310" s="438">
        <v>13</v>
      </c>
      <c r="F310" s="449"/>
      <c r="G310" s="425">
        <f>F310*E310</f>
        <v>0</v>
      </c>
    </row>
    <row r="311" spans="1:7" ht="15" customHeight="1">
      <c r="A311" s="468"/>
      <c r="B311" s="408"/>
      <c r="C311" s="410"/>
      <c r="D311" s="437"/>
      <c r="E311" s="438"/>
      <c r="F311" s="439"/>
      <c r="G311" s="425"/>
    </row>
    <row r="312" spans="1:7" ht="102">
      <c r="A312" s="468"/>
      <c r="B312" s="408" t="s">
        <v>262</v>
      </c>
      <c r="C312" s="410" t="s">
        <v>768</v>
      </c>
      <c r="D312" s="437"/>
      <c r="E312" s="438"/>
      <c r="F312" s="439"/>
      <c r="G312" s="425"/>
    </row>
    <row r="313" spans="1:7" ht="16.5">
      <c r="A313" s="468"/>
      <c r="B313" s="408"/>
      <c r="C313" s="410"/>
      <c r="D313" s="437" t="s">
        <v>42</v>
      </c>
      <c r="E313" s="438">
        <v>7</v>
      </c>
      <c r="F313" s="449"/>
      <c r="G313" s="425">
        <f>F313*E313</f>
        <v>0</v>
      </c>
    </row>
    <row r="314" spans="1:7" ht="13.5" customHeight="1">
      <c r="A314" s="468"/>
      <c r="B314" s="408"/>
      <c r="C314" s="410"/>
      <c r="D314" s="437"/>
      <c r="E314" s="438"/>
      <c r="F314" s="439"/>
      <c r="G314" s="425"/>
    </row>
    <row r="315" spans="1:7" ht="148.5" customHeight="1">
      <c r="A315" s="468"/>
      <c r="B315" s="408" t="s">
        <v>263</v>
      </c>
      <c r="C315" s="410" t="s">
        <v>769</v>
      </c>
      <c r="D315" s="418"/>
      <c r="E315" s="424"/>
      <c r="F315" s="424"/>
      <c r="G315" s="425"/>
    </row>
    <row r="316" spans="1:7" ht="16.5">
      <c r="A316" s="474"/>
      <c r="B316" s="408"/>
      <c r="C316" s="410" t="s">
        <v>770</v>
      </c>
      <c r="D316" s="418" t="s">
        <v>42</v>
      </c>
      <c r="E316" s="424">
        <v>7</v>
      </c>
      <c r="F316" s="424"/>
      <c r="G316" s="425">
        <f>E316*F316</f>
        <v>0</v>
      </c>
    </row>
    <row r="317" spans="1:7" ht="15" customHeight="1">
      <c r="A317" s="468"/>
      <c r="B317" s="485"/>
      <c r="C317" s="420"/>
      <c r="D317" s="440"/>
      <c r="E317" s="424"/>
      <c r="F317" s="424"/>
      <c r="G317" s="425"/>
    </row>
    <row r="318" spans="1:7" ht="111" customHeight="1">
      <c r="A318" s="468"/>
      <c r="B318" s="408" t="s">
        <v>264</v>
      </c>
      <c r="C318" s="410" t="s">
        <v>771</v>
      </c>
      <c r="D318" s="418"/>
      <c r="E318" s="424"/>
      <c r="F318" s="424"/>
      <c r="G318" s="425"/>
    </row>
    <row r="319" spans="1:7" ht="15" customHeight="1">
      <c r="A319" s="474"/>
      <c r="B319" s="408"/>
      <c r="C319" s="410"/>
      <c r="D319" s="418" t="s">
        <v>42</v>
      </c>
      <c r="E319" s="424">
        <v>5</v>
      </c>
      <c r="F319" s="424"/>
      <c r="G319" s="425">
        <f>E319*F319</f>
        <v>0</v>
      </c>
    </row>
    <row r="320" spans="1:7" ht="16.5">
      <c r="A320" s="529"/>
      <c r="B320" s="408"/>
      <c r="C320" s="410"/>
      <c r="D320" s="409"/>
      <c r="E320" s="424"/>
      <c r="F320" s="424"/>
      <c r="G320" s="425"/>
    </row>
    <row r="321" spans="1:7" ht="30.75" customHeight="1">
      <c r="A321" s="529"/>
      <c r="B321" s="408" t="s">
        <v>265</v>
      </c>
      <c r="C321" s="410" t="s">
        <v>772</v>
      </c>
      <c r="D321" s="409"/>
      <c r="E321" s="424"/>
      <c r="F321" s="424"/>
      <c r="G321" s="425"/>
    </row>
    <row r="322" spans="1:7" ht="25.5">
      <c r="A322" s="529"/>
      <c r="B322" s="540" t="s">
        <v>190</v>
      </c>
      <c r="C322" s="450" t="s">
        <v>773</v>
      </c>
      <c r="D322" s="409" t="s">
        <v>42</v>
      </c>
      <c r="E322" s="424">
        <v>1</v>
      </c>
      <c r="F322" s="424"/>
      <c r="G322" s="425">
        <f>F322*E322</f>
        <v>0</v>
      </c>
    </row>
    <row r="323" spans="1:7" ht="27.75" customHeight="1">
      <c r="A323" s="529"/>
      <c r="B323" s="408" t="s">
        <v>191</v>
      </c>
      <c r="C323" s="410" t="s">
        <v>774</v>
      </c>
      <c r="D323" s="409" t="s">
        <v>42</v>
      </c>
      <c r="E323" s="424">
        <v>1</v>
      </c>
      <c r="F323" s="424"/>
      <c r="G323" s="425">
        <f>F323*E323</f>
        <v>0</v>
      </c>
    </row>
    <row r="324" spans="1:7" ht="13.5" customHeight="1">
      <c r="A324" s="468"/>
      <c r="B324" s="485"/>
      <c r="C324" s="420"/>
      <c r="D324" s="440"/>
      <c r="E324" s="424"/>
      <c r="F324" s="424"/>
      <c r="G324" s="425"/>
    </row>
    <row r="325" spans="1:7" ht="76.5">
      <c r="A325" s="468"/>
      <c r="B325" s="408" t="s">
        <v>266</v>
      </c>
      <c r="C325" s="410" t="s">
        <v>775</v>
      </c>
      <c r="D325" s="418"/>
      <c r="E325" s="424"/>
      <c r="F325" s="424"/>
      <c r="G325" s="425"/>
    </row>
    <row r="326" spans="1:7" ht="16.5">
      <c r="A326" s="474"/>
      <c r="B326" s="408"/>
      <c r="C326" s="410" t="s">
        <v>776</v>
      </c>
      <c r="D326" s="418" t="s">
        <v>42</v>
      </c>
      <c r="E326" s="424">
        <v>3</v>
      </c>
      <c r="F326" s="424"/>
      <c r="G326" s="425">
        <f>E326*F326</f>
        <v>0</v>
      </c>
    </row>
    <row r="327" spans="1:7" ht="13.5" customHeight="1">
      <c r="A327" s="529"/>
      <c r="B327" s="485"/>
      <c r="C327" s="420"/>
      <c r="D327" s="440"/>
      <c r="E327" s="424"/>
      <c r="F327" s="424"/>
      <c r="G327" s="425"/>
    </row>
    <row r="328" spans="1:7" ht="42.75" customHeight="1">
      <c r="A328" s="529"/>
      <c r="B328" s="408" t="s">
        <v>267</v>
      </c>
      <c r="C328" s="410" t="s">
        <v>777</v>
      </c>
      <c r="D328" s="409"/>
      <c r="E328" s="424"/>
      <c r="F328" s="424"/>
      <c r="G328" s="425"/>
    </row>
    <row r="329" spans="1:7" ht="16.5">
      <c r="A329" s="529"/>
      <c r="B329" s="408"/>
      <c r="C329" s="410"/>
      <c r="D329" s="409" t="s">
        <v>42</v>
      </c>
      <c r="E329" s="424">
        <v>11</v>
      </c>
      <c r="F329" s="424"/>
      <c r="G329" s="425">
        <f>E329*F329</f>
        <v>0</v>
      </c>
    </row>
    <row r="330" spans="1:7" ht="12.75" customHeight="1">
      <c r="A330" s="529"/>
      <c r="B330" s="408"/>
      <c r="C330" s="410"/>
      <c r="D330" s="409"/>
      <c r="E330" s="424"/>
      <c r="F330" s="424"/>
      <c r="G330" s="425"/>
    </row>
    <row r="331" spans="1:7" ht="76.5">
      <c r="A331" s="529"/>
      <c r="B331" s="408" t="s">
        <v>268</v>
      </c>
      <c r="C331" s="410" t="s">
        <v>778</v>
      </c>
      <c r="D331" s="409"/>
      <c r="E331" s="424"/>
      <c r="F331" s="424"/>
      <c r="G331" s="425"/>
    </row>
    <row r="332" spans="1:7" ht="16.5">
      <c r="A332" s="529"/>
      <c r="B332" s="408"/>
      <c r="C332" s="410"/>
      <c r="D332" s="409" t="s">
        <v>42</v>
      </c>
      <c r="E332" s="424">
        <v>1</v>
      </c>
      <c r="F332" s="424"/>
      <c r="G332" s="425">
        <f>F332*E332</f>
        <v>0</v>
      </c>
    </row>
    <row r="333" spans="1:7" ht="18" customHeight="1">
      <c r="A333" s="529"/>
      <c r="B333" s="408"/>
      <c r="C333" s="410"/>
      <c r="D333" s="409"/>
      <c r="E333" s="424"/>
      <c r="F333" s="424"/>
      <c r="G333" s="425"/>
    </row>
    <row r="334" spans="1:7" ht="51">
      <c r="A334" s="529"/>
      <c r="B334" s="408" t="s">
        <v>269</v>
      </c>
      <c r="C334" s="410" t="s">
        <v>779</v>
      </c>
      <c r="D334" s="409"/>
      <c r="E334" s="424"/>
      <c r="F334" s="424"/>
      <c r="G334" s="425"/>
    </row>
    <row r="335" spans="1:7" ht="16.5">
      <c r="A335" s="529"/>
      <c r="B335" s="408"/>
      <c r="C335" s="410"/>
      <c r="D335" s="409" t="s">
        <v>42</v>
      </c>
      <c r="E335" s="424">
        <v>1</v>
      </c>
      <c r="F335" s="424"/>
      <c r="G335" s="425">
        <f>F335*E335</f>
        <v>0</v>
      </c>
    </row>
    <row r="336" spans="1:7" ht="18.75" customHeight="1">
      <c r="A336" s="529"/>
      <c r="B336" s="408"/>
      <c r="C336" s="410"/>
      <c r="D336" s="409"/>
      <c r="E336" s="424"/>
      <c r="F336" s="424"/>
      <c r="G336" s="425"/>
    </row>
    <row r="337" spans="1:7" ht="191.25">
      <c r="A337" s="529"/>
      <c r="B337" s="408" t="s">
        <v>270</v>
      </c>
      <c r="C337" s="410" t="s">
        <v>780</v>
      </c>
      <c r="D337" s="409"/>
      <c r="E337" s="424"/>
      <c r="F337" s="424"/>
      <c r="G337" s="425"/>
    </row>
    <row r="338" spans="1:7" ht="13.5" customHeight="1">
      <c r="A338" s="529"/>
      <c r="B338" s="408"/>
      <c r="C338" s="410"/>
      <c r="D338" s="409" t="s">
        <v>42</v>
      </c>
      <c r="E338" s="424">
        <v>1</v>
      </c>
      <c r="F338" s="424"/>
      <c r="G338" s="425">
        <f>F338*E338</f>
        <v>0</v>
      </c>
    </row>
    <row r="339" spans="1:7" s="186" customFormat="1" ht="159.75" customHeight="1">
      <c r="A339" s="529"/>
      <c r="B339" s="408" t="s">
        <v>271</v>
      </c>
      <c r="C339" s="410" t="s">
        <v>1563</v>
      </c>
      <c r="D339" s="409"/>
      <c r="E339" s="424"/>
      <c r="F339" s="424"/>
      <c r="G339" s="425"/>
    </row>
    <row r="340" spans="1:7" s="186" customFormat="1" ht="13.5" customHeight="1">
      <c r="A340" s="529"/>
      <c r="B340" s="408"/>
      <c r="C340" s="410" t="s">
        <v>1564</v>
      </c>
      <c r="D340" s="409" t="s">
        <v>42</v>
      </c>
      <c r="E340" s="424">
        <v>1</v>
      </c>
      <c r="F340" s="424"/>
      <c r="G340" s="425">
        <f>E340*F340</f>
        <v>0</v>
      </c>
    </row>
    <row r="341" spans="1:7" s="186" customFormat="1" ht="13.5" customHeight="1">
      <c r="A341" s="529"/>
      <c r="B341" s="408"/>
      <c r="C341" s="410"/>
      <c r="D341" s="409"/>
      <c r="E341" s="424"/>
      <c r="F341" s="424"/>
      <c r="G341" s="425"/>
    </row>
    <row r="342" spans="1:7" s="186" customFormat="1" ht="121.5" customHeight="1">
      <c r="A342" s="529"/>
      <c r="B342" s="408" t="s">
        <v>272</v>
      </c>
      <c r="C342" s="410" t="s">
        <v>1565</v>
      </c>
      <c r="D342" s="409"/>
      <c r="E342" s="424"/>
      <c r="F342" s="424"/>
      <c r="G342" s="425"/>
    </row>
    <row r="343" spans="1:7" s="186" customFormat="1" ht="15" customHeight="1">
      <c r="A343" s="529"/>
      <c r="B343" s="408"/>
      <c r="C343" s="410"/>
      <c r="D343" s="409" t="s">
        <v>42</v>
      </c>
      <c r="E343" s="424">
        <v>2</v>
      </c>
      <c r="F343" s="424"/>
      <c r="G343" s="425">
        <f>E343*F343</f>
        <v>0</v>
      </c>
    </row>
    <row r="344" spans="1:7" s="186" customFormat="1" ht="13.5" customHeight="1">
      <c r="A344" s="529"/>
      <c r="B344" s="408"/>
      <c r="C344" s="410"/>
      <c r="D344" s="409"/>
      <c r="E344" s="424"/>
      <c r="F344" s="424"/>
      <c r="G344" s="425"/>
    </row>
    <row r="345" spans="1:7" s="186" customFormat="1" ht="91.5" customHeight="1">
      <c r="A345" s="529"/>
      <c r="B345" s="408" t="s">
        <v>273</v>
      </c>
      <c r="C345" s="410" t="s">
        <v>1566</v>
      </c>
      <c r="D345" s="409"/>
      <c r="E345" s="424"/>
      <c r="F345" s="424"/>
      <c r="G345" s="425"/>
    </row>
    <row r="346" spans="1:7" s="186" customFormat="1" ht="15" customHeight="1">
      <c r="A346" s="529"/>
      <c r="B346" s="408"/>
      <c r="C346" s="410"/>
      <c r="D346" s="409" t="s">
        <v>42</v>
      </c>
      <c r="E346" s="424">
        <v>2</v>
      </c>
      <c r="F346" s="424"/>
      <c r="G346" s="425">
        <f>E346*F346</f>
        <v>0</v>
      </c>
    </row>
    <row r="347" spans="1:7" ht="16.5">
      <c r="A347" s="529"/>
      <c r="B347" s="408"/>
      <c r="C347" s="410"/>
      <c r="D347" s="409"/>
      <c r="E347" s="424"/>
      <c r="F347" s="424"/>
      <c r="G347" s="425"/>
    </row>
    <row r="348" spans="1:7">
      <c r="A348" s="436"/>
      <c r="B348" s="538"/>
      <c r="C348" s="436" t="s">
        <v>781</v>
      </c>
      <c r="D348" s="436"/>
      <c r="E348" s="488"/>
      <c r="F348" s="380"/>
      <c r="G348" s="478">
        <f>SUM(G307:G347)</f>
        <v>0</v>
      </c>
    </row>
    <row r="349" spans="1:7" ht="16.5">
      <c r="A349" s="436"/>
      <c r="B349" s="402"/>
      <c r="C349" s="544"/>
      <c r="D349" s="404"/>
      <c r="E349" s="380"/>
      <c r="F349" s="380"/>
      <c r="G349" s="405"/>
    </row>
    <row r="350" spans="1:7" ht="15.75" customHeight="1">
      <c r="A350" s="381" t="s">
        <v>782</v>
      </c>
      <c r="B350" s="545"/>
      <c r="C350" s="436" t="s">
        <v>783</v>
      </c>
      <c r="D350" s="436"/>
      <c r="E350" s="488"/>
      <c r="F350" s="380"/>
      <c r="G350" s="478">
        <f>G348+G302+G250</f>
        <v>0</v>
      </c>
    </row>
    <row r="351" spans="1:7" ht="16.5">
      <c r="A351" s="381"/>
      <c r="B351" s="545"/>
      <c r="C351" s="436"/>
      <c r="D351" s="436"/>
      <c r="E351" s="488"/>
      <c r="F351" s="380"/>
      <c r="G351" s="478"/>
    </row>
    <row r="352" spans="1:7" ht="13.5" customHeight="1">
      <c r="A352" s="381" t="s">
        <v>784</v>
      </c>
      <c r="B352" s="545"/>
      <c r="C352" s="381" t="s">
        <v>785</v>
      </c>
      <c r="D352" s="436"/>
      <c r="E352" s="488"/>
      <c r="F352" s="380"/>
      <c r="G352" s="478"/>
    </row>
    <row r="353" spans="1:7" ht="16.5">
      <c r="A353" s="381"/>
      <c r="B353" s="545"/>
      <c r="C353" s="436"/>
      <c r="D353" s="436"/>
      <c r="E353" s="488"/>
      <c r="F353" s="380"/>
      <c r="G353" s="478"/>
    </row>
    <row r="354" spans="1:7" ht="21.75" customHeight="1">
      <c r="A354" s="381"/>
      <c r="B354" s="546" t="s">
        <v>261</v>
      </c>
      <c r="C354" s="436" t="s">
        <v>786</v>
      </c>
      <c r="D354" s="436"/>
      <c r="E354" s="488"/>
      <c r="F354" s="380"/>
      <c r="G354" s="478"/>
    </row>
    <row r="355" spans="1:7" ht="409.5" customHeight="1">
      <c r="A355" s="381"/>
      <c r="B355" s="545"/>
      <c r="C355" s="384" t="s">
        <v>787</v>
      </c>
      <c r="D355" s="436"/>
      <c r="E355" s="488"/>
      <c r="F355" s="380"/>
      <c r="G355" s="478"/>
    </row>
    <row r="356" spans="1:7" ht="16.5">
      <c r="A356" s="381"/>
      <c r="B356" s="545"/>
      <c r="C356" s="384" t="s">
        <v>788</v>
      </c>
      <c r="D356" s="406" t="s">
        <v>42</v>
      </c>
      <c r="E356" s="380">
        <v>1</v>
      </c>
      <c r="F356" s="380"/>
      <c r="G356" s="478">
        <f>F356*E356</f>
        <v>0</v>
      </c>
    </row>
    <row r="357" spans="1:7" ht="16.5">
      <c r="A357" s="381"/>
      <c r="B357" s="545"/>
      <c r="C357" s="384"/>
      <c r="D357" s="406"/>
      <c r="E357" s="488"/>
      <c r="F357" s="380"/>
      <c r="G357" s="478"/>
    </row>
    <row r="358" spans="1:7" ht="15.75" customHeight="1">
      <c r="A358" s="381"/>
      <c r="B358" s="546" t="s">
        <v>262</v>
      </c>
      <c r="C358" s="436" t="s">
        <v>789</v>
      </c>
      <c r="D358" s="406"/>
      <c r="E358" s="488"/>
      <c r="F358" s="380"/>
      <c r="G358" s="478"/>
    </row>
    <row r="359" spans="1:7" ht="51">
      <c r="A359" s="381"/>
      <c r="B359" s="545"/>
      <c r="C359" s="427" t="s">
        <v>790</v>
      </c>
      <c r="D359" s="406"/>
      <c r="E359" s="488"/>
      <c r="F359" s="380"/>
      <c r="G359" s="478"/>
    </row>
    <row r="360" spans="1:7" ht="16.5">
      <c r="A360" s="381"/>
      <c r="B360" s="545"/>
      <c r="C360" s="384" t="s">
        <v>791</v>
      </c>
      <c r="D360" s="406" t="s">
        <v>42</v>
      </c>
      <c r="E360" s="380">
        <v>7</v>
      </c>
      <c r="F360" s="380"/>
      <c r="G360" s="478">
        <f>F360*E360</f>
        <v>0</v>
      </c>
    </row>
    <row r="361" spans="1:7" ht="16.5">
      <c r="A361" s="381"/>
      <c r="B361" s="545"/>
      <c r="C361" s="384"/>
      <c r="D361" s="406"/>
      <c r="E361" s="380"/>
      <c r="F361" s="380"/>
      <c r="G361" s="478"/>
    </row>
    <row r="362" spans="1:7" ht="16.5">
      <c r="A362" s="381"/>
      <c r="B362" s="545"/>
      <c r="C362" s="436" t="s">
        <v>792</v>
      </c>
      <c r="D362" s="406"/>
      <c r="E362" s="380"/>
      <c r="F362" s="380"/>
      <c r="G362" s="478">
        <f>SUM(G355:G360)</f>
        <v>0</v>
      </c>
    </row>
    <row r="363" spans="1:7" ht="16.5">
      <c r="A363" s="381"/>
      <c r="B363" s="545"/>
      <c r="C363" s="436"/>
      <c r="D363" s="436"/>
      <c r="E363" s="488"/>
      <c r="F363" s="380"/>
      <c r="G363" s="478"/>
    </row>
    <row r="364" spans="1:7" ht="16.5">
      <c r="A364" s="547"/>
      <c r="B364" s="548"/>
      <c r="C364" s="451"/>
      <c r="D364" s="452"/>
      <c r="E364" s="453"/>
      <c r="F364" s="453"/>
      <c r="G364" s="454"/>
    </row>
    <row r="365" spans="1:7" ht="16.5">
      <c r="A365" s="547"/>
      <c r="B365" s="549"/>
      <c r="C365" s="455"/>
      <c r="D365" s="452"/>
      <c r="E365" s="456"/>
      <c r="F365" s="456"/>
      <c r="G365" s="457"/>
    </row>
    <row r="366" spans="1:7" ht="16.5">
      <c r="A366" s="547"/>
      <c r="B366" s="550"/>
      <c r="C366" s="551"/>
      <c r="D366" s="552"/>
      <c r="E366" s="553"/>
      <c r="F366" s="553"/>
      <c r="G366" s="554"/>
    </row>
    <row r="367" spans="1:7" ht="16.5">
      <c r="A367" s="555"/>
      <c r="B367" s="556"/>
      <c r="C367" s="451"/>
      <c r="D367" s="452"/>
      <c r="E367" s="453"/>
      <c r="F367" s="453"/>
      <c r="G367" s="454"/>
    </row>
    <row r="368" spans="1:7" ht="16.5">
      <c r="A368" s="555"/>
      <c r="B368" s="557"/>
      <c r="C368" s="982" t="s">
        <v>793</v>
      </c>
      <c r="D368" s="983"/>
      <c r="E368" s="983"/>
      <c r="F368" s="983"/>
      <c r="G368" s="454"/>
    </row>
    <row r="369" spans="1:7" ht="16.5">
      <c r="A369" s="555"/>
      <c r="B369" s="558"/>
      <c r="C369" s="982"/>
      <c r="D369" s="983"/>
      <c r="E369" s="983"/>
      <c r="F369" s="983"/>
      <c r="G369" s="458"/>
    </row>
    <row r="370" spans="1:7" ht="16.5">
      <c r="A370" s="555"/>
      <c r="B370" s="559" t="s">
        <v>556</v>
      </c>
      <c r="C370" s="982" t="s">
        <v>281</v>
      </c>
      <c r="D370" s="983"/>
      <c r="E370" s="983"/>
      <c r="F370" s="983"/>
      <c r="G370" s="459">
        <f>G24</f>
        <v>0</v>
      </c>
    </row>
    <row r="371" spans="1:7" ht="16.5">
      <c r="A371" s="555"/>
      <c r="B371" s="559" t="s">
        <v>586</v>
      </c>
      <c r="C371" s="982" t="s">
        <v>282</v>
      </c>
      <c r="D371" s="983"/>
      <c r="E371" s="983"/>
      <c r="F371" s="983"/>
      <c r="G371" s="459">
        <f>G68</f>
        <v>0</v>
      </c>
    </row>
    <row r="372" spans="1:7" ht="16.5">
      <c r="A372" s="555"/>
      <c r="B372" s="559" t="s">
        <v>613</v>
      </c>
      <c r="C372" s="982" t="s">
        <v>614</v>
      </c>
      <c r="D372" s="983"/>
      <c r="E372" s="983"/>
      <c r="F372" s="983"/>
      <c r="G372" s="459">
        <f>G123</f>
        <v>0</v>
      </c>
    </row>
    <row r="373" spans="1:7" ht="16.5">
      <c r="A373" s="555"/>
      <c r="B373" s="559" t="s">
        <v>640</v>
      </c>
      <c r="C373" s="460" t="s">
        <v>641</v>
      </c>
      <c r="D373" s="461"/>
      <c r="E373" s="461"/>
      <c r="F373" s="462"/>
      <c r="G373" s="459">
        <f>G140</f>
        <v>0</v>
      </c>
    </row>
    <row r="374" spans="1:7" ht="16.5">
      <c r="A374" s="555"/>
      <c r="B374" s="559" t="s">
        <v>647</v>
      </c>
      <c r="C374" s="460" t="s">
        <v>648</v>
      </c>
      <c r="D374" s="461"/>
      <c r="E374" s="461"/>
      <c r="F374" s="462"/>
      <c r="G374" s="459">
        <f>G153</f>
        <v>0</v>
      </c>
    </row>
    <row r="375" spans="1:7" ht="16.5">
      <c r="A375" s="555"/>
      <c r="B375" s="559" t="s">
        <v>794</v>
      </c>
      <c r="C375" s="460" t="s">
        <v>795</v>
      </c>
      <c r="D375" s="461"/>
      <c r="E375" s="461"/>
      <c r="F375" s="462"/>
      <c r="G375" s="459">
        <f>G167</f>
        <v>0</v>
      </c>
    </row>
    <row r="376" spans="1:7" ht="16.5">
      <c r="A376" s="555"/>
      <c r="B376" s="559" t="s">
        <v>667</v>
      </c>
      <c r="C376" s="982" t="s">
        <v>796</v>
      </c>
      <c r="D376" s="983"/>
      <c r="E376" s="983"/>
      <c r="F376" s="983"/>
      <c r="G376" s="459">
        <f>G350</f>
        <v>0</v>
      </c>
    </row>
    <row r="377" spans="1:7" ht="16.5">
      <c r="A377" s="555"/>
      <c r="B377" s="559" t="s">
        <v>784</v>
      </c>
      <c r="C377" s="982" t="s">
        <v>785</v>
      </c>
      <c r="D377" s="983"/>
      <c r="E377" s="983"/>
      <c r="F377" s="983"/>
      <c r="G377" s="459">
        <f>G362</f>
        <v>0</v>
      </c>
    </row>
    <row r="378" spans="1:7" ht="16.5">
      <c r="A378" s="555"/>
      <c r="B378" s="558"/>
      <c r="C378" s="463"/>
      <c r="D378" s="463"/>
      <c r="E378" s="464"/>
      <c r="F378" s="453"/>
      <c r="G378" s="458"/>
    </row>
    <row r="379" spans="1:7" ht="16.5">
      <c r="A379" s="555"/>
      <c r="B379" s="559"/>
      <c r="C379" s="982" t="s">
        <v>797</v>
      </c>
      <c r="D379" s="983"/>
      <c r="E379" s="983"/>
      <c r="F379" s="983"/>
      <c r="G379" s="459">
        <f>SUM(G370:G376)</f>
        <v>0</v>
      </c>
    </row>
    <row r="380" spans="1:7" ht="16.5">
      <c r="A380" s="555"/>
      <c r="B380" s="560"/>
      <c r="C380" s="982" t="s">
        <v>798</v>
      </c>
      <c r="D380" s="983"/>
      <c r="E380" s="983"/>
      <c r="F380" s="983"/>
      <c r="G380" s="459">
        <f>G379*0.25</f>
        <v>0</v>
      </c>
    </row>
    <row r="381" spans="1:7" ht="16.5">
      <c r="A381" s="555"/>
      <c r="B381" s="560"/>
      <c r="C381" s="561"/>
      <c r="D381" s="562"/>
      <c r="E381" s="553"/>
      <c r="F381" s="553"/>
      <c r="G381" s="554"/>
    </row>
    <row r="382" spans="1:7" ht="16.5">
      <c r="A382" s="547"/>
      <c r="B382" s="560"/>
      <c r="C382" s="982" t="s">
        <v>799</v>
      </c>
      <c r="D382" s="983"/>
      <c r="E382" s="983"/>
      <c r="F382" s="983"/>
      <c r="G382" s="563">
        <f>G379+G380</f>
        <v>0</v>
      </c>
    </row>
    <row r="383" spans="1:7" ht="16.5">
      <c r="A383" s="564"/>
      <c r="B383" s="550"/>
      <c r="C383" s="551"/>
      <c r="D383" s="552"/>
      <c r="E383" s="553"/>
      <c r="F383" s="553"/>
      <c r="G383" s="554"/>
    </row>
    <row r="384" spans="1:7" ht="16.5">
      <c r="A384" s="564"/>
      <c r="B384" s="565"/>
      <c r="C384" s="551"/>
      <c r="D384" s="552"/>
      <c r="E384" s="553"/>
      <c r="F384" s="553"/>
      <c r="G384" s="554"/>
    </row>
    <row r="385" spans="1:7" ht="16.5">
      <c r="A385" s="564"/>
      <c r="B385" s="565"/>
      <c r="C385" s="561"/>
      <c r="D385" s="562"/>
      <c r="E385" s="553"/>
      <c r="F385" s="553"/>
      <c r="G385" s="554"/>
    </row>
    <row r="386" spans="1:7" ht="16.5">
      <c r="A386" s="564"/>
      <c r="B386" s="565"/>
      <c r="C386" s="561"/>
      <c r="D386" s="562"/>
      <c r="E386" s="553"/>
      <c r="F386" s="553"/>
      <c r="G386" s="554"/>
    </row>
    <row r="387" spans="1:7" ht="16.5">
      <c r="A387" s="564"/>
      <c r="B387" s="565"/>
      <c r="C387" s="561"/>
      <c r="D387" s="562"/>
      <c r="E387" s="553"/>
      <c r="F387" s="553"/>
      <c r="G387" s="554"/>
    </row>
  </sheetData>
  <mergeCells count="14">
    <mergeCell ref="C379:F379"/>
    <mergeCell ref="C380:F380"/>
    <mergeCell ref="C382:F382"/>
    <mergeCell ref="E24:F24"/>
    <mergeCell ref="C368:F368"/>
    <mergeCell ref="C369:F369"/>
    <mergeCell ref="C370:F370"/>
    <mergeCell ref="C371:F371"/>
    <mergeCell ref="C372:F372"/>
    <mergeCell ref="A1:F1"/>
    <mergeCell ref="B3:F3"/>
    <mergeCell ref="B4:F4"/>
    <mergeCell ref="C376:F376"/>
    <mergeCell ref="C377:F377"/>
  </mergeCells>
  <pageMargins left="0.7" right="0.7" top="0.75" bottom="0.75" header="0.3" footer="0.3"/>
  <pageSetup paperSize="9" fitToHeight="0" orientation="portrait" r:id="rId1"/>
  <rowBreaks count="20" manualBreakCount="20">
    <brk id="5" max="16383" man="1"/>
    <brk id="24" max="16383" man="1"/>
    <brk id="47" max="6" man="1"/>
    <brk id="60" max="6" man="1"/>
    <brk id="68" max="6" man="1"/>
    <brk id="91" max="6" man="1"/>
    <brk id="123" max="16383" man="1"/>
    <brk id="140" max="16383" man="1"/>
    <brk id="154" max="6" man="1"/>
    <brk id="167" max="16383" man="1"/>
    <brk id="197" max="6" man="1"/>
    <brk id="209" max="6" man="1"/>
    <brk id="223" max="6" man="1"/>
    <brk id="232" max="6" man="1"/>
    <brk id="250" max="16383" man="1"/>
    <brk id="302" max="16383" man="1"/>
    <brk id="317" max="6" man="1"/>
    <brk id="336" max="6" man="1"/>
    <brk id="354" max="6" man="1"/>
    <brk id="363" max="6"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9"/>
  <sheetViews>
    <sheetView view="pageBreakPreview" topLeftCell="A465" zoomScale="115" zoomScaleNormal="100" zoomScaleSheetLayoutView="115" workbookViewId="0">
      <selection activeCell="E446" sqref="E446:E460"/>
    </sheetView>
  </sheetViews>
  <sheetFormatPr defaultRowHeight="15"/>
  <cols>
    <col min="2" max="2" width="36.42578125" customWidth="1"/>
    <col min="3" max="3" width="13.42578125" customWidth="1"/>
    <col min="5" max="5" width="13.28515625" customWidth="1"/>
    <col min="6" max="6" width="14.140625" bestFit="1" customWidth="1"/>
  </cols>
  <sheetData>
    <row r="1" spans="1:6" ht="15.75">
      <c r="A1" s="985" t="s">
        <v>1258</v>
      </c>
      <c r="B1" s="985"/>
      <c r="C1" s="985"/>
      <c r="D1" s="985"/>
      <c r="E1" s="985"/>
      <c r="F1" s="985"/>
    </row>
    <row r="2" spans="1:6" ht="15.75">
      <c r="A2" s="985" t="s">
        <v>1259</v>
      </c>
      <c r="B2" s="985"/>
      <c r="C2" s="985"/>
      <c r="D2" s="985"/>
      <c r="E2" s="985"/>
      <c r="F2" s="985"/>
    </row>
    <row r="3" spans="1:6" ht="15.75">
      <c r="A3" s="778"/>
      <c r="B3" s="725"/>
      <c r="C3" s="779"/>
      <c r="D3" s="779"/>
      <c r="E3" s="780"/>
      <c r="F3" s="781"/>
    </row>
    <row r="4" spans="1:6" ht="25.5">
      <c r="A4" s="782"/>
      <c r="B4" s="726"/>
      <c r="C4" s="727" t="s">
        <v>1260</v>
      </c>
      <c r="D4" s="727" t="s">
        <v>6</v>
      </c>
      <c r="E4" s="728" t="s">
        <v>616</v>
      </c>
      <c r="F4" s="728" t="s">
        <v>617</v>
      </c>
    </row>
    <row r="5" spans="1:6">
      <c r="A5" s="783"/>
      <c r="B5" s="729" t="s">
        <v>1261</v>
      </c>
      <c r="C5" s="730"/>
      <c r="D5" s="730"/>
      <c r="E5" s="731"/>
      <c r="F5" s="731"/>
    </row>
    <row r="6" spans="1:6">
      <c r="A6" s="783"/>
      <c r="B6" s="986" t="s">
        <v>1262</v>
      </c>
      <c r="C6" s="986"/>
      <c r="D6" s="986"/>
      <c r="E6" s="986"/>
      <c r="F6" s="986"/>
    </row>
    <row r="7" spans="1:6" ht="15.75">
      <c r="A7" s="783"/>
      <c r="B7" s="987" t="s">
        <v>1263</v>
      </c>
      <c r="C7" s="987"/>
      <c r="D7" s="987"/>
      <c r="E7" s="987"/>
      <c r="F7" s="987"/>
    </row>
    <row r="8" spans="1:6" ht="15.75">
      <c r="A8" s="783"/>
      <c r="B8" s="732"/>
      <c r="C8" s="732"/>
      <c r="D8" s="732"/>
      <c r="E8" s="732"/>
      <c r="F8" s="732"/>
    </row>
    <row r="9" spans="1:6">
      <c r="A9" s="783"/>
      <c r="B9" s="733"/>
      <c r="C9" s="784"/>
      <c r="D9" s="784"/>
      <c r="E9" s="785"/>
      <c r="F9" s="785"/>
    </row>
    <row r="10" spans="1:6">
      <c r="A10" s="786" t="s">
        <v>1264</v>
      </c>
      <c r="B10" s="734" t="s">
        <v>1265</v>
      </c>
      <c r="C10" s="787"/>
      <c r="D10" s="787"/>
      <c r="E10" s="788"/>
      <c r="F10" s="788"/>
    </row>
    <row r="11" spans="1:6">
      <c r="A11" s="783"/>
      <c r="B11" s="735"/>
      <c r="C11" s="784"/>
      <c r="D11" s="784"/>
      <c r="E11" s="789"/>
      <c r="F11" s="789"/>
    </row>
    <row r="12" spans="1:6" ht="141.75" customHeight="1">
      <c r="A12" s="790" t="s">
        <v>261</v>
      </c>
      <c r="B12" s="791" t="s">
        <v>1266</v>
      </c>
      <c r="C12" s="792" t="s">
        <v>42</v>
      </c>
      <c r="D12" s="792">
        <v>1</v>
      </c>
      <c r="E12" s="793"/>
      <c r="F12" s="794"/>
    </row>
    <row r="13" spans="1:6" ht="40.5" customHeight="1">
      <c r="A13" s="782" t="s">
        <v>1267</v>
      </c>
      <c r="B13" s="740" t="s">
        <v>1268</v>
      </c>
      <c r="C13" s="795" t="s">
        <v>42</v>
      </c>
      <c r="D13" s="795">
        <v>1</v>
      </c>
      <c r="E13" s="796"/>
      <c r="F13" s="797"/>
    </row>
    <row r="14" spans="1:6" ht="25.5" customHeight="1">
      <c r="A14" s="790" t="s">
        <v>1267</v>
      </c>
      <c r="B14" s="740" t="s">
        <v>1269</v>
      </c>
      <c r="C14" s="792" t="s">
        <v>42</v>
      </c>
      <c r="D14" s="792">
        <v>1</v>
      </c>
      <c r="E14" s="793"/>
      <c r="F14" s="794"/>
    </row>
    <row r="15" spans="1:6" ht="30.75" customHeight="1">
      <c r="A15" s="782" t="s">
        <v>1267</v>
      </c>
      <c r="B15" s="740" t="s">
        <v>1270</v>
      </c>
      <c r="C15" s="792" t="s">
        <v>42</v>
      </c>
      <c r="D15" s="792">
        <v>1</v>
      </c>
      <c r="E15" s="793"/>
      <c r="F15" s="794"/>
    </row>
    <row r="16" spans="1:6" ht="16.5" customHeight="1">
      <c r="A16" s="782" t="s">
        <v>1267</v>
      </c>
      <c r="B16" s="740" t="s">
        <v>1271</v>
      </c>
      <c r="C16" s="795" t="s">
        <v>926</v>
      </c>
      <c r="D16" s="795">
        <v>0.5</v>
      </c>
      <c r="E16" s="796"/>
      <c r="F16" s="798"/>
    </row>
    <row r="17" spans="1:6" ht="15.75" customHeight="1">
      <c r="A17" s="782" t="s">
        <v>1267</v>
      </c>
      <c r="B17" s="740" t="s">
        <v>1272</v>
      </c>
      <c r="C17" s="795" t="s">
        <v>1273</v>
      </c>
      <c r="D17" s="795">
        <v>1</v>
      </c>
      <c r="E17" s="796"/>
      <c r="F17" s="798"/>
    </row>
    <row r="18" spans="1:6" ht="17.25" customHeight="1">
      <c r="A18" s="782" t="s">
        <v>1267</v>
      </c>
      <c r="B18" s="740" t="s">
        <v>1274</v>
      </c>
      <c r="C18" s="795" t="s">
        <v>42</v>
      </c>
      <c r="D18" s="795">
        <v>1</v>
      </c>
      <c r="E18" s="796"/>
      <c r="F18" s="798"/>
    </row>
    <row r="19" spans="1:6" ht="26.25" customHeight="1">
      <c r="A19" s="799" t="s">
        <v>1267</v>
      </c>
      <c r="B19" s="740" t="s">
        <v>1275</v>
      </c>
      <c r="C19" s="800" t="s">
        <v>1276</v>
      </c>
      <c r="D19" s="800">
        <v>1</v>
      </c>
      <c r="E19" s="801"/>
      <c r="F19" s="802"/>
    </row>
    <row r="20" spans="1:6" ht="15" customHeight="1">
      <c r="A20" s="782"/>
      <c r="B20" s="736" t="s">
        <v>1277</v>
      </c>
      <c r="C20" s="803" t="s">
        <v>1278</v>
      </c>
      <c r="D20" s="803">
        <v>1</v>
      </c>
      <c r="E20" s="804"/>
      <c r="F20" s="804">
        <f>D20*E20</f>
        <v>0</v>
      </c>
    </row>
    <row r="21" spans="1:6">
      <c r="A21" s="782"/>
      <c r="B21" s="737"/>
      <c r="C21" s="784"/>
      <c r="D21" s="784"/>
      <c r="E21" s="785"/>
      <c r="F21" s="785"/>
    </row>
    <row r="22" spans="1:6" ht="96.75" customHeight="1">
      <c r="A22" s="782" t="s">
        <v>262</v>
      </c>
      <c r="B22" s="738" t="s">
        <v>1279</v>
      </c>
      <c r="C22" s="792" t="s">
        <v>42</v>
      </c>
      <c r="D22" s="792">
        <v>1</v>
      </c>
      <c r="E22" s="805"/>
      <c r="F22" s="806"/>
    </row>
    <row r="23" spans="1:6" ht="77.25" customHeight="1">
      <c r="A23" s="790" t="s">
        <v>1267</v>
      </c>
      <c r="B23" s="739" t="s">
        <v>1280</v>
      </c>
      <c r="C23" s="792" t="s">
        <v>42</v>
      </c>
      <c r="D23" s="792">
        <v>1</v>
      </c>
      <c r="E23" s="793"/>
      <c r="F23" s="806"/>
    </row>
    <row r="24" spans="1:6" ht="27" customHeight="1">
      <c r="A24" s="790" t="s">
        <v>1267</v>
      </c>
      <c r="B24" s="740" t="s">
        <v>1281</v>
      </c>
      <c r="C24" s="792" t="s">
        <v>42</v>
      </c>
      <c r="D24" s="792">
        <v>1</v>
      </c>
      <c r="E24" s="793"/>
      <c r="F24" s="806"/>
    </row>
    <row r="25" spans="1:6" ht="55.5" customHeight="1">
      <c r="A25" s="782" t="s">
        <v>1267</v>
      </c>
      <c r="B25" s="740" t="s">
        <v>1282</v>
      </c>
      <c r="C25" s="792" t="s">
        <v>42</v>
      </c>
      <c r="D25" s="792">
        <v>1</v>
      </c>
      <c r="E25" s="807"/>
      <c r="F25" s="806"/>
    </row>
    <row r="26" spans="1:6" ht="52.5" customHeight="1">
      <c r="A26" s="782" t="s">
        <v>1267</v>
      </c>
      <c r="B26" s="740" t="s">
        <v>1283</v>
      </c>
      <c r="C26" s="792" t="s">
        <v>42</v>
      </c>
      <c r="D26" s="792">
        <v>1</v>
      </c>
      <c r="E26" s="807"/>
      <c r="F26" s="806"/>
    </row>
    <row r="27" spans="1:6" ht="28.5" customHeight="1">
      <c r="A27" s="782" t="s">
        <v>1267</v>
      </c>
      <c r="B27" s="740" t="s">
        <v>1284</v>
      </c>
      <c r="C27" s="795" t="s">
        <v>42</v>
      </c>
      <c r="D27" s="795">
        <v>1</v>
      </c>
      <c r="E27" s="796"/>
      <c r="F27" s="806"/>
    </row>
    <row r="28" spans="1:6" ht="27.75" customHeight="1">
      <c r="A28" s="782" t="s">
        <v>1267</v>
      </c>
      <c r="B28" s="740" t="s">
        <v>1285</v>
      </c>
      <c r="C28" s="795" t="s">
        <v>42</v>
      </c>
      <c r="D28" s="795">
        <v>1</v>
      </c>
      <c r="E28" s="796"/>
      <c r="F28" s="806"/>
    </row>
    <row r="29" spans="1:6" ht="25.5" customHeight="1">
      <c r="A29" s="782" t="s">
        <v>1267</v>
      </c>
      <c r="B29" s="740" t="s">
        <v>1286</v>
      </c>
      <c r="C29" s="795" t="s">
        <v>42</v>
      </c>
      <c r="D29" s="795">
        <v>2</v>
      </c>
      <c r="E29" s="796"/>
      <c r="F29" s="806"/>
    </row>
    <row r="30" spans="1:6" ht="27" customHeight="1">
      <c r="A30" s="782" t="s">
        <v>1267</v>
      </c>
      <c r="B30" s="740" t="s">
        <v>1287</v>
      </c>
      <c r="C30" s="795" t="s">
        <v>42</v>
      </c>
      <c r="D30" s="795">
        <v>1</v>
      </c>
      <c r="E30" s="796"/>
      <c r="F30" s="806"/>
    </row>
    <row r="31" spans="1:6" ht="27" customHeight="1">
      <c r="A31" s="782" t="s">
        <v>1267</v>
      </c>
      <c r="B31" s="740" t="s">
        <v>1288</v>
      </c>
      <c r="C31" s="795" t="s">
        <v>42</v>
      </c>
      <c r="D31" s="795">
        <v>1</v>
      </c>
      <c r="E31" s="796"/>
      <c r="F31" s="806"/>
    </row>
    <row r="32" spans="1:6" ht="27.75" customHeight="1">
      <c r="A32" s="782" t="s">
        <v>1267</v>
      </c>
      <c r="B32" s="740" t="s">
        <v>1289</v>
      </c>
      <c r="C32" s="795" t="s">
        <v>42</v>
      </c>
      <c r="D32" s="795">
        <v>26</v>
      </c>
      <c r="E32" s="796"/>
      <c r="F32" s="806"/>
    </row>
    <row r="33" spans="1:6" ht="27" customHeight="1">
      <c r="A33" s="782" t="s">
        <v>1267</v>
      </c>
      <c r="B33" s="740" t="s">
        <v>1290</v>
      </c>
      <c r="C33" s="795" t="s">
        <v>42</v>
      </c>
      <c r="D33" s="795">
        <v>17</v>
      </c>
      <c r="E33" s="796"/>
      <c r="F33" s="806"/>
    </row>
    <row r="34" spans="1:6" ht="27" customHeight="1">
      <c r="A34" s="782" t="s">
        <v>1267</v>
      </c>
      <c r="B34" s="740" t="s">
        <v>1291</v>
      </c>
      <c r="C34" s="795" t="s">
        <v>42</v>
      </c>
      <c r="D34" s="795">
        <v>2</v>
      </c>
      <c r="E34" s="796"/>
      <c r="F34" s="806"/>
    </row>
    <row r="35" spans="1:6" ht="15.75" customHeight="1">
      <c r="A35" s="782" t="s">
        <v>1267</v>
      </c>
      <c r="B35" s="741" t="s">
        <v>1292</v>
      </c>
      <c r="C35" s="795" t="s">
        <v>42</v>
      </c>
      <c r="D35" s="795">
        <v>1</v>
      </c>
      <c r="E35" s="796"/>
      <c r="F35" s="806"/>
    </row>
    <row r="36" spans="1:6" ht="19.5" customHeight="1">
      <c r="A36" s="782" t="s">
        <v>1267</v>
      </c>
      <c r="B36" s="742" t="s">
        <v>1293</v>
      </c>
      <c r="C36" s="795" t="s">
        <v>42</v>
      </c>
      <c r="D36" s="795">
        <v>1</v>
      </c>
      <c r="E36" s="796"/>
      <c r="F36" s="806"/>
    </row>
    <row r="37" spans="1:6" ht="18" customHeight="1">
      <c r="A37" s="782" t="s">
        <v>1267</v>
      </c>
      <c r="B37" s="742" t="s">
        <v>1294</v>
      </c>
      <c r="C37" s="795" t="s">
        <v>42</v>
      </c>
      <c r="D37" s="795">
        <v>1</v>
      </c>
      <c r="E37" s="796"/>
      <c r="F37" s="806"/>
    </row>
    <row r="38" spans="1:6" ht="20.25" customHeight="1">
      <c r="A38" s="782" t="s">
        <v>1267</v>
      </c>
      <c r="B38" s="742" t="s">
        <v>1295</v>
      </c>
      <c r="C38" s="795" t="s">
        <v>42</v>
      </c>
      <c r="D38" s="795">
        <v>1</v>
      </c>
      <c r="E38" s="796"/>
      <c r="F38" s="806"/>
    </row>
    <row r="39" spans="1:6" ht="19.5" customHeight="1">
      <c r="A39" s="782" t="s">
        <v>1267</v>
      </c>
      <c r="B39" s="741" t="s">
        <v>1296</v>
      </c>
      <c r="C39" s="795" t="s">
        <v>926</v>
      </c>
      <c r="D39" s="808">
        <v>2.5</v>
      </c>
      <c r="E39" s="809"/>
      <c r="F39" s="806"/>
    </row>
    <row r="40" spans="1:6" ht="27" customHeight="1">
      <c r="A40" s="782" t="s">
        <v>1267</v>
      </c>
      <c r="B40" s="740" t="s">
        <v>1297</v>
      </c>
      <c r="C40" s="795" t="s">
        <v>1276</v>
      </c>
      <c r="D40" s="810">
        <v>1</v>
      </c>
      <c r="E40" s="811"/>
      <c r="F40" s="806"/>
    </row>
    <row r="41" spans="1:6" ht="18" customHeight="1">
      <c r="A41" s="782"/>
      <c r="B41" s="743" t="s">
        <v>1298</v>
      </c>
      <c r="C41" s="803" t="s">
        <v>1278</v>
      </c>
      <c r="D41" s="803">
        <v>1</v>
      </c>
      <c r="E41" s="804"/>
      <c r="F41" s="812">
        <f>D41*E41</f>
        <v>0</v>
      </c>
    </row>
    <row r="42" spans="1:6">
      <c r="A42" s="782"/>
      <c r="B42" s="742"/>
      <c r="C42" s="784"/>
      <c r="D42" s="784"/>
      <c r="E42" s="785"/>
      <c r="F42" s="813"/>
    </row>
    <row r="43" spans="1:6" ht="80.25" customHeight="1">
      <c r="A43" s="782" t="s">
        <v>263</v>
      </c>
      <c r="B43" s="738" t="s">
        <v>1299</v>
      </c>
      <c r="C43" s="792" t="s">
        <v>42</v>
      </c>
      <c r="D43" s="792">
        <v>1</v>
      </c>
      <c r="E43" s="805"/>
      <c r="F43" s="806"/>
    </row>
    <row r="44" spans="1:6" ht="67.5" customHeight="1">
      <c r="A44" s="790" t="s">
        <v>1267</v>
      </c>
      <c r="B44" s="739" t="s">
        <v>1300</v>
      </c>
      <c r="C44" s="792" t="s">
        <v>42</v>
      </c>
      <c r="D44" s="792">
        <v>1</v>
      </c>
      <c r="E44" s="793"/>
      <c r="F44" s="794"/>
    </row>
    <row r="45" spans="1:6" ht="30.75" customHeight="1">
      <c r="A45" s="782" t="s">
        <v>1267</v>
      </c>
      <c r="B45" s="740" t="s">
        <v>1301</v>
      </c>
      <c r="C45" s="795" t="s">
        <v>42</v>
      </c>
      <c r="D45" s="795">
        <v>1</v>
      </c>
      <c r="E45" s="796"/>
      <c r="F45" s="798"/>
    </row>
    <row r="46" spans="1:6" ht="28.5" customHeight="1">
      <c r="A46" s="782" t="s">
        <v>1267</v>
      </c>
      <c r="B46" s="740" t="s">
        <v>1286</v>
      </c>
      <c r="C46" s="795" t="s">
        <v>42</v>
      </c>
      <c r="D46" s="795">
        <v>3</v>
      </c>
      <c r="E46" s="796"/>
      <c r="F46" s="798"/>
    </row>
    <row r="47" spans="1:6" ht="24.75" customHeight="1">
      <c r="A47" s="782" t="s">
        <v>1267</v>
      </c>
      <c r="B47" s="740" t="s">
        <v>1287</v>
      </c>
      <c r="C47" s="795" t="s">
        <v>42</v>
      </c>
      <c r="D47" s="795">
        <v>1</v>
      </c>
      <c r="E47" s="796"/>
      <c r="F47" s="798"/>
    </row>
    <row r="48" spans="1:6" ht="27.75" customHeight="1">
      <c r="A48" s="782" t="s">
        <v>1267</v>
      </c>
      <c r="B48" s="740" t="s">
        <v>1289</v>
      </c>
      <c r="C48" s="795" t="s">
        <v>42</v>
      </c>
      <c r="D48" s="795">
        <v>12</v>
      </c>
      <c r="E48" s="796"/>
      <c r="F48" s="798"/>
    </row>
    <row r="49" spans="1:6" ht="28.5" customHeight="1">
      <c r="A49" s="782" t="s">
        <v>1267</v>
      </c>
      <c r="B49" s="740" t="s">
        <v>1290</v>
      </c>
      <c r="C49" s="795" t="s">
        <v>42</v>
      </c>
      <c r="D49" s="795">
        <v>5</v>
      </c>
      <c r="E49" s="796"/>
      <c r="F49" s="798"/>
    </row>
    <row r="50" spans="1:6" ht="30" customHeight="1">
      <c r="A50" s="782" t="s">
        <v>1267</v>
      </c>
      <c r="B50" s="740" t="s">
        <v>1291</v>
      </c>
      <c r="C50" s="795" t="s">
        <v>42</v>
      </c>
      <c r="D50" s="795">
        <v>1</v>
      </c>
      <c r="E50" s="796"/>
      <c r="F50" s="798"/>
    </row>
    <row r="51" spans="1:6" ht="18" customHeight="1">
      <c r="A51" s="782" t="s">
        <v>1267</v>
      </c>
      <c r="B51" s="741" t="s">
        <v>1302</v>
      </c>
      <c r="C51" s="795" t="s">
        <v>926</v>
      </c>
      <c r="D51" s="808">
        <v>1.5</v>
      </c>
      <c r="E51" s="809"/>
      <c r="F51" s="809"/>
    </row>
    <row r="52" spans="1:6" ht="28.5" customHeight="1">
      <c r="A52" s="782" t="s">
        <v>1267</v>
      </c>
      <c r="B52" s="740" t="s">
        <v>1297</v>
      </c>
      <c r="C52" s="795" t="s">
        <v>1276</v>
      </c>
      <c r="D52" s="810">
        <v>1</v>
      </c>
      <c r="E52" s="811"/>
      <c r="F52" s="814"/>
    </row>
    <row r="53" spans="1:6" ht="18" customHeight="1">
      <c r="A53" s="782"/>
      <c r="B53" s="743" t="s">
        <v>1303</v>
      </c>
      <c r="C53" s="803" t="s">
        <v>1278</v>
      </c>
      <c r="D53" s="803">
        <v>1</v>
      </c>
      <c r="E53" s="804"/>
      <c r="F53" s="812">
        <f>D53*E53</f>
        <v>0</v>
      </c>
    </row>
    <row r="54" spans="1:6">
      <c r="A54" s="782"/>
      <c r="B54" s="742"/>
      <c r="C54" s="784"/>
      <c r="D54" s="784"/>
      <c r="E54" s="785"/>
      <c r="F54" s="813"/>
    </row>
    <row r="55" spans="1:6" ht="67.5" customHeight="1">
      <c r="A55" s="782" t="s">
        <v>264</v>
      </c>
      <c r="B55" s="738" t="s">
        <v>1304</v>
      </c>
      <c r="C55" s="784" t="s">
        <v>42</v>
      </c>
      <c r="D55" s="784">
        <v>1</v>
      </c>
      <c r="E55" s="785"/>
      <c r="F55" s="813"/>
    </row>
    <row r="56" spans="1:6" ht="29.25" customHeight="1">
      <c r="A56" s="782" t="s">
        <v>1267</v>
      </c>
      <c r="B56" s="740" t="s">
        <v>1285</v>
      </c>
      <c r="C56" s="795" t="s">
        <v>42</v>
      </c>
      <c r="D56" s="795">
        <v>1</v>
      </c>
      <c r="E56" s="796"/>
      <c r="F56" s="798"/>
    </row>
    <row r="57" spans="1:6" ht="29.25" customHeight="1">
      <c r="A57" s="782" t="s">
        <v>1267</v>
      </c>
      <c r="B57" s="740" t="s">
        <v>1289</v>
      </c>
      <c r="C57" s="795" t="s">
        <v>42</v>
      </c>
      <c r="D57" s="795">
        <v>10</v>
      </c>
      <c r="E57" s="796"/>
      <c r="F57" s="798"/>
    </row>
    <row r="58" spans="1:6" ht="27.75" customHeight="1">
      <c r="A58" s="782" t="s">
        <v>1267</v>
      </c>
      <c r="B58" s="740" t="s">
        <v>1290</v>
      </c>
      <c r="C58" s="795" t="s">
        <v>42</v>
      </c>
      <c r="D58" s="795">
        <v>6</v>
      </c>
      <c r="E58" s="796"/>
      <c r="F58" s="798"/>
    </row>
    <row r="59" spans="1:6" ht="21" customHeight="1">
      <c r="A59" s="782" t="s">
        <v>1267</v>
      </c>
      <c r="B59" s="741" t="s">
        <v>1305</v>
      </c>
      <c r="C59" s="795" t="s">
        <v>926</v>
      </c>
      <c r="D59" s="808">
        <v>0.5</v>
      </c>
      <c r="E59" s="809"/>
      <c r="F59" s="809"/>
    </row>
    <row r="60" spans="1:6" ht="30.75" customHeight="1">
      <c r="A60" s="782" t="s">
        <v>1267</v>
      </c>
      <c r="B60" s="740" t="s">
        <v>1297</v>
      </c>
      <c r="C60" s="795" t="s">
        <v>1276</v>
      </c>
      <c r="D60" s="810">
        <v>1</v>
      </c>
      <c r="E60" s="811"/>
      <c r="F60" s="814"/>
    </row>
    <row r="61" spans="1:6" ht="19.5" customHeight="1">
      <c r="A61" s="782"/>
      <c r="B61" s="743" t="s">
        <v>1306</v>
      </c>
      <c r="C61" s="803" t="s">
        <v>1278</v>
      </c>
      <c r="D61" s="803">
        <v>1</v>
      </c>
      <c r="E61" s="804"/>
      <c r="F61" s="812">
        <f>D61*E61</f>
        <v>0</v>
      </c>
    </row>
    <row r="62" spans="1:6">
      <c r="A62" s="782"/>
      <c r="B62" s="742"/>
      <c r="C62" s="784"/>
      <c r="D62" s="784"/>
      <c r="E62" s="785"/>
      <c r="F62" s="813"/>
    </row>
    <row r="63" spans="1:6" ht="71.25" customHeight="1">
      <c r="A63" s="782" t="s">
        <v>265</v>
      </c>
      <c r="B63" s="738" t="s">
        <v>1307</v>
      </c>
      <c r="C63" s="784" t="s">
        <v>42</v>
      </c>
      <c r="D63" s="784">
        <v>1</v>
      </c>
      <c r="E63" s="785"/>
      <c r="F63" s="813"/>
    </row>
    <row r="64" spans="1:6" ht="29.25" customHeight="1">
      <c r="A64" s="782" t="s">
        <v>1267</v>
      </c>
      <c r="B64" s="740" t="s">
        <v>1285</v>
      </c>
      <c r="C64" s="795" t="s">
        <v>42</v>
      </c>
      <c r="D64" s="795">
        <v>1</v>
      </c>
      <c r="E64" s="796"/>
      <c r="F64" s="798"/>
    </row>
    <row r="65" spans="1:6" ht="26.25" customHeight="1">
      <c r="A65" s="782" t="s">
        <v>1267</v>
      </c>
      <c r="B65" s="740" t="s">
        <v>1289</v>
      </c>
      <c r="C65" s="795" t="s">
        <v>42</v>
      </c>
      <c r="D65" s="795">
        <v>10</v>
      </c>
      <c r="E65" s="796"/>
      <c r="F65" s="798"/>
    </row>
    <row r="66" spans="1:6" ht="26.25" customHeight="1">
      <c r="A66" s="782" t="s">
        <v>1267</v>
      </c>
      <c r="B66" s="740" t="s">
        <v>1290</v>
      </c>
      <c r="C66" s="795" t="s">
        <v>42</v>
      </c>
      <c r="D66" s="795">
        <v>11</v>
      </c>
      <c r="E66" s="796"/>
      <c r="F66" s="798"/>
    </row>
    <row r="67" spans="1:6" ht="15.75" customHeight="1">
      <c r="A67" s="782" t="s">
        <v>1267</v>
      </c>
      <c r="B67" s="741" t="s">
        <v>1305</v>
      </c>
      <c r="C67" s="795" t="s">
        <v>926</v>
      </c>
      <c r="D67" s="808">
        <v>0.5</v>
      </c>
      <c r="E67" s="809"/>
      <c r="F67" s="809"/>
    </row>
    <row r="68" spans="1:6" ht="25.5" customHeight="1">
      <c r="A68" s="782" t="s">
        <v>1267</v>
      </c>
      <c r="B68" s="740" t="s">
        <v>1297</v>
      </c>
      <c r="C68" s="795" t="s">
        <v>1276</v>
      </c>
      <c r="D68" s="810">
        <v>1</v>
      </c>
      <c r="E68" s="811"/>
      <c r="F68" s="814"/>
    </row>
    <row r="69" spans="1:6" ht="14.25" customHeight="1">
      <c r="A69" s="782"/>
      <c r="B69" s="743" t="s">
        <v>1308</v>
      </c>
      <c r="C69" s="803" t="s">
        <v>1278</v>
      </c>
      <c r="D69" s="803">
        <v>1</v>
      </c>
      <c r="E69" s="804"/>
      <c r="F69" s="812">
        <f>D69*E69</f>
        <v>0</v>
      </c>
    </row>
    <row r="70" spans="1:6">
      <c r="A70" s="782"/>
      <c r="B70" s="742"/>
      <c r="C70" s="784"/>
      <c r="D70" s="784"/>
      <c r="E70" s="785"/>
      <c r="F70" s="813"/>
    </row>
    <row r="71" spans="1:6" ht="69" customHeight="1">
      <c r="A71" s="782" t="s">
        <v>266</v>
      </c>
      <c r="B71" s="738" t="s">
        <v>1309</v>
      </c>
      <c r="C71" s="784" t="s">
        <v>42</v>
      </c>
      <c r="D71" s="784">
        <v>1</v>
      </c>
      <c r="E71" s="785"/>
      <c r="F71" s="813"/>
    </row>
    <row r="72" spans="1:6" ht="30.75" customHeight="1">
      <c r="A72" s="782" t="s">
        <v>1267</v>
      </c>
      <c r="B72" s="740" t="s">
        <v>1285</v>
      </c>
      <c r="C72" s="795" t="s">
        <v>42</v>
      </c>
      <c r="D72" s="795">
        <v>1</v>
      </c>
      <c r="E72" s="796"/>
      <c r="F72" s="798"/>
    </row>
    <row r="73" spans="1:6" ht="30" customHeight="1">
      <c r="A73" s="782" t="s">
        <v>1267</v>
      </c>
      <c r="B73" s="740" t="s">
        <v>1289</v>
      </c>
      <c r="C73" s="795" t="s">
        <v>42</v>
      </c>
      <c r="D73" s="795">
        <v>16</v>
      </c>
      <c r="E73" s="796"/>
      <c r="F73" s="798"/>
    </row>
    <row r="74" spans="1:6" ht="25.5" customHeight="1">
      <c r="A74" s="782" t="s">
        <v>1267</v>
      </c>
      <c r="B74" s="740" t="s">
        <v>1290</v>
      </c>
      <c r="C74" s="795" t="s">
        <v>42</v>
      </c>
      <c r="D74" s="795">
        <v>4</v>
      </c>
      <c r="E74" s="796"/>
      <c r="F74" s="798"/>
    </row>
    <row r="75" spans="1:6" ht="17.25" customHeight="1">
      <c r="A75" s="782" t="s">
        <v>1267</v>
      </c>
      <c r="B75" s="742" t="s">
        <v>1295</v>
      </c>
      <c r="C75" s="795" t="s">
        <v>42</v>
      </c>
      <c r="D75" s="795">
        <v>1</v>
      </c>
      <c r="E75" s="796"/>
      <c r="F75" s="798"/>
    </row>
    <row r="76" spans="1:6" ht="15.75" customHeight="1">
      <c r="A76" s="782" t="s">
        <v>1267</v>
      </c>
      <c r="B76" s="741" t="s">
        <v>1305</v>
      </c>
      <c r="C76" s="795" t="s">
        <v>926</v>
      </c>
      <c r="D76" s="808">
        <v>0.5</v>
      </c>
      <c r="E76" s="809"/>
      <c r="F76" s="809"/>
    </row>
    <row r="77" spans="1:6" ht="26.25" customHeight="1">
      <c r="A77" s="782" t="s">
        <v>1267</v>
      </c>
      <c r="B77" s="740" t="s">
        <v>1297</v>
      </c>
      <c r="C77" s="795" t="s">
        <v>1276</v>
      </c>
      <c r="D77" s="810">
        <v>1</v>
      </c>
      <c r="E77" s="811"/>
      <c r="F77" s="814"/>
    </row>
    <row r="78" spans="1:6" ht="14.25" customHeight="1">
      <c r="A78" s="782"/>
      <c r="B78" s="743" t="s">
        <v>1310</v>
      </c>
      <c r="C78" s="803" t="s">
        <v>1278</v>
      </c>
      <c r="D78" s="803">
        <v>1</v>
      </c>
      <c r="E78" s="804"/>
      <c r="F78" s="812">
        <f>D78*E78</f>
        <v>0</v>
      </c>
    </row>
    <row r="79" spans="1:6">
      <c r="A79" s="782"/>
      <c r="B79" s="742"/>
      <c r="C79" s="784"/>
      <c r="D79" s="784"/>
      <c r="E79" s="785"/>
      <c r="F79" s="813"/>
    </row>
    <row r="80" spans="1:6" ht="80.25" customHeight="1">
      <c r="A80" s="782" t="s">
        <v>267</v>
      </c>
      <c r="B80" s="738" t="s">
        <v>1311</v>
      </c>
      <c r="C80" s="792" t="s">
        <v>42</v>
      </c>
      <c r="D80" s="792">
        <v>1</v>
      </c>
      <c r="E80" s="805"/>
      <c r="F80" s="806"/>
    </row>
    <row r="81" spans="1:6" ht="66.75" customHeight="1">
      <c r="A81" s="790" t="s">
        <v>1267</v>
      </c>
      <c r="B81" s="739" t="s">
        <v>1312</v>
      </c>
      <c r="C81" s="792" t="s">
        <v>42</v>
      </c>
      <c r="D81" s="792">
        <v>1</v>
      </c>
      <c r="E81" s="793"/>
      <c r="F81" s="794"/>
    </row>
    <row r="82" spans="1:6" ht="29.25" customHeight="1">
      <c r="A82" s="782" t="s">
        <v>1267</v>
      </c>
      <c r="B82" s="740" t="s">
        <v>1301</v>
      </c>
      <c r="C82" s="795" t="s">
        <v>42</v>
      </c>
      <c r="D82" s="795">
        <v>1</v>
      </c>
      <c r="E82" s="796"/>
      <c r="F82" s="798"/>
    </row>
    <row r="83" spans="1:6" ht="28.5" customHeight="1">
      <c r="A83" s="782" t="s">
        <v>1267</v>
      </c>
      <c r="B83" s="740" t="s">
        <v>1313</v>
      </c>
      <c r="C83" s="795" t="s">
        <v>42</v>
      </c>
      <c r="D83" s="795">
        <v>1</v>
      </c>
      <c r="E83" s="796"/>
      <c r="F83" s="798"/>
    </row>
    <row r="84" spans="1:6" ht="29.25" customHeight="1">
      <c r="A84" s="782" t="s">
        <v>1267</v>
      </c>
      <c r="B84" s="740" t="s">
        <v>1314</v>
      </c>
      <c r="C84" s="795" t="s">
        <v>42</v>
      </c>
      <c r="D84" s="795">
        <v>13</v>
      </c>
      <c r="E84" s="796"/>
      <c r="F84" s="798"/>
    </row>
    <row r="85" spans="1:6" ht="29.25" customHeight="1">
      <c r="A85" s="782" t="s">
        <v>1267</v>
      </c>
      <c r="B85" s="740" t="s">
        <v>1286</v>
      </c>
      <c r="C85" s="795" t="s">
        <v>42</v>
      </c>
      <c r="D85" s="795">
        <v>2</v>
      </c>
      <c r="E85" s="796"/>
      <c r="F85" s="798"/>
    </row>
    <row r="86" spans="1:6" ht="28.5" customHeight="1">
      <c r="A86" s="782" t="s">
        <v>1267</v>
      </c>
      <c r="B86" s="740" t="s">
        <v>1315</v>
      </c>
      <c r="C86" s="795" t="s">
        <v>42</v>
      </c>
      <c r="D86" s="795">
        <v>1</v>
      </c>
      <c r="E86" s="796"/>
      <c r="F86" s="798"/>
    </row>
    <row r="87" spans="1:6" ht="28.5" customHeight="1">
      <c r="A87" s="782" t="s">
        <v>1267</v>
      </c>
      <c r="B87" s="740" t="s">
        <v>1316</v>
      </c>
      <c r="C87" s="795" t="s">
        <v>42</v>
      </c>
      <c r="D87" s="795">
        <v>6</v>
      </c>
      <c r="E87" s="796"/>
      <c r="F87" s="798"/>
    </row>
    <row r="88" spans="1:6" ht="28.5" customHeight="1">
      <c r="A88" s="782" t="s">
        <v>1267</v>
      </c>
      <c r="B88" s="740" t="s">
        <v>1289</v>
      </c>
      <c r="C88" s="795" t="s">
        <v>42</v>
      </c>
      <c r="D88" s="795">
        <v>5</v>
      </c>
      <c r="E88" s="796"/>
      <c r="F88" s="798"/>
    </row>
    <row r="89" spans="1:6" ht="28.5" customHeight="1">
      <c r="A89" s="782" t="s">
        <v>1267</v>
      </c>
      <c r="B89" s="740" t="s">
        <v>1290</v>
      </c>
      <c r="C89" s="795" t="s">
        <v>42</v>
      </c>
      <c r="D89" s="795">
        <v>1</v>
      </c>
      <c r="E89" s="796"/>
      <c r="F89" s="798"/>
    </row>
    <row r="90" spans="1:6" ht="26.25" customHeight="1">
      <c r="A90" s="782" t="s">
        <v>1267</v>
      </c>
      <c r="B90" s="740" t="s">
        <v>1291</v>
      </c>
      <c r="C90" s="795" t="s">
        <v>42</v>
      </c>
      <c r="D90" s="795">
        <v>1</v>
      </c>
      <c r="E90" s="796"/>
      <c r="F90" s="798"/>
    </row>
    <row r="91" spans="1:6" ht="20.25" customHeight="1">
      <c r="A91" s="782" t="s">
        <v>1267</v>
      </c>
      <c r="B91" s="741" t="s">
        <v>1302</v>
      </c>
      <c r="C91" s="795" t="s">
        <v>926</v>
      </c>
      <c r="D91" s="808">
        <v>2</v>
      </c>
      <c r="E91" s="809"/>
      <c r="F91" s="809"/>
    </row>
    <row r="92" spans="1:6" ht="30" customHeight="1">
      <c r="A92" s="782" t="s">
        <v>1267</v>
      </c>
      <c r="B92" s="740" t="s">
        <v>1297</v>
      </c>
      <c r="C92" s="795" t="s">
        <v>1276</v>
      </c>
      <c r="D92" s="810">
        <v>1</v>
      </c>
      <c r="E92" s="811"/>
      <c r="F92" s="814"/>
    </row>
    <row r="93" spans="1:6" ht="17.25" customHeight="1">
      <c r="A93" s="782"/>
      <c r="B93" s="743" t="s">
        <v>1317</v>
      </c>
      <c r="C93" s="803" t="s">
        <v>1278</v>
      </c>
      <c r="D93" s="803">
        <v>1</v>
      </c>
      <c r="E93" s="804"/>
      <c r="F93" s="812">
        <f>D93*E93</f>
        <v>0</v>
      </c>
    </row>
    <row r="94" spans="1:6">
      <c r="A94" s="782"/>
      <c r="B94" s="742"/>
      <c r="C94" s="784"/>
      <c r="D94" s="784"/>
      <c r="E94" s="785"/>
      <c r="F94" s="813"/>
    </row>
    <row r="95" spans="1:6" ht="69" customHeight="1">
      <c r="A95" s="815" t="s">
        <v>268</v>
      </c>
      <c r="B95" s="738" t="s">
        <v>1318</v>
      </c>
      <c r="C95" s="816" t="s">
        <v>42</v>
      </c>
      <c r="D95" s="816">
        <v>1</v>
      </c>
      <c r="E95" s="817"/>
      <c r="F95" s="818"/>
    </row>
    <row r="96" spans="1:6" ht="18.75" customHeight="1">
      <c r="A96" s="819" t="s">
        <v>1267</v>
      </c>
      <c r="B96" s="744" t="s">
        <v>1319</v>
      </c>
      <c r="C96" s="820" t="s">
        <v>42</v>
      </c>
      <c r="D96" s="820">
        <v>1</v>
      </c>
      <c r="E96" s="821"/>
      <c r="F96" s="822"/>
    </row>
    <row r="97" spans="1:6" ht="27.75" customHeight="1">
      <c r="A97" s="815" t="s">
        <v>1267</v>
      </c>
      <c r="B97" s="740" t="s">
        <v>1320</v>
      </c>
      <c r="C97" s="823" t="s">
        <v>42</v>
      </c>
      <c r="D97" s="823">
        <v>1</v>
      </c>
      <c r="E97" s="824"/>
      <c r="F97" s="825"/>
    </row>
    <row r="98" spans="1:6" ht="30.75" customHeight="1">
      <c r="A98" s="815" t="s">
        <v>1267</v>
      </c>
      <c r="B98" s="742" t="s">
        <v>1321</v>
      </c>
      <c r="C98" s="823" t="s">
        <v>42</v>
      </c>
      <c r="D98" s="823">
        <v>2</v>
      </c>
      <c r="E98" s="824"/>
      <c r="F98" s="825"/>
    </row>
    <row r="99" spans="1:6" ht="27.75" customHeight="1">
      <c r="A99" s="782" t="s">
        <v>1267</v>
      </c>
      <c r="B99" s="740" t="s">
        <v>1290</v>
      </c>
      <c r="C99" s="795" t="s">
        <v>42</v>
      </c>
      <c r="D99" s="795">
        <v>2</v>
      </c>
      <c r="E99" s="796"/>
      <c r="F99" s="798"/>
    </row>
    <row r="100" spans="1:6" ht="28.5" customHeight="1">
      <c r="A100" s="782" t="s">
        <v>1267</v>
      </c>
      <c r="B100" s="740" t="s">
        <v>1291</v>
      </c>
      <c r="C100" s="795" t="s">
        <v>42</v>
      </c>
      <c r="D100" s="795">
        <v>2</v>
      </c>
      <c r="E100" s="796"/>
      <c r="F100" s="798"/>
    </row>
    <row r="101" spans="1:6" ht="42" customHeight="1">
      <c r="A101" s="815" t="s">
        <v>1267</v>
      </c>
      <c r="B101" s="742" t="s">
        <v>1322</v>
      </c>
      <c r="C101" s="823" t="s">
        <v>42</v>
      </c>
      <c r="D101" s="823">
        <v>8</v>
      </c>
      <c r="E101" s="824"/>
      <c r="F101" s="825"/>
    </row>
    <row r="102" spans="1:6" ht="97.5" customHeight="1">
      <c r="A102" s="815" t="s">
        <v>1267</v>
      </c>
      <c r="B102" s="742" t="s">
        <v>1323</v>
      </c>
      <c r="C102" s="823" t="s">
        <v>42</v>
      </c>
      <c r="D102" s="823">
        <v>8</v>
      </c>
      <c r="E102" s="824"/>
      <c r="F102" s="825"/>
    </row>
    <row r="103" spans="1:6" ht="20.25" customHeight="1">
      <c r="A103" s="815" t="s">
        <v>1267</v>
      </c>
      <c r="B103" s="741" t="s">
        <v>1324</v>
      </c>
      <c r="C103" s="823" t="s">
        <v>926</v>
      </c>
      <c r="D103" s="826">
        <v>1</v>
      </c>
      <c r="E103" s="827"/>
      <c r="F103" s="828"/>
    </row>
    <row r="104" spans="1:6" ht="27" customHeight="1">
      <c r="A104" s="815" t="s">
        <v>1267</v>
      </c>
      <c r="B104" s="741" t="s">
        <v>1297</v>
      </c>
      <c r="C104" s="823" t="s">
        <v>1276</v>
      </c>
      <c r="D104" s="823">
        <v>1</v>
      </c>
      <c r="E104" s="827"/>
      <c r="F104" s="828"/>
    </row>
    <row r="105" spans="1:6" ht="30" customHeight="1">
      <c r="A105" s="815"/>
      <c r="B105" s="745" t="s">
        <v>1325</v>
      </c>
      <c r="C105" s="829" t="s">
        <v>1278</v>
      </c>
      <c r="D105" s="829">
        <v>1</v>
      </c>
      <c r="E105" s="830"/>
      <c r="F105" s="831">
        <f>D105*E105</f>
        <v>0</v>
      </c>
    </row>
    <row r="106" spans="1:6">
      <c r="A106" s="815"/>
      <c r="B106" s="741"/>
      <c r="C106" s="816"/>
      <c r="D106" s="816"/>
      <c r="E106" s="817"/>
      <c r="F106" s="818"/>
    </row>
    <row r="107" spans="1:6">
      <c r="A107" s="786"/>
      <c r="B107" s="746" t="s">
        <v>1265</v>
      </c>
      <c r="C107" s="832"/>
      <c r="D107" s="787"/>
      <c r="E107" s="833" t="s">
        <v>15</v>
      </c>
      <c r="F107" s="834">
        <f>SUM(F41:F105)</f>
        <v>0</v>
      </c>
    </row>
    <row r="108" spans="1:6">
      <c r="A108" s="783"/>
      <c r="B108" s="747"/>
      <c r="C108" s="766"/>
      <c r="D108" s="784"/>
      <c r="E108" s="835"/>
      <c r="F108" s="836"/>
    </row>
    <row r="109" spans="1:6" ht="30">
      <c r="A109" s="786" t="s">
        <v>1326</v>
      </c>
      <c r="B109" s="748" t="s">
        <v>1327</v>
      </c>
      <c r="C109" s="787"/>
      <c r="D109" s="787"/>
      <c r="E109" s="837"/>
      <c r="F109" s="837"/>
    </row>
    <row r="110" spans="1:6">
      <c r="A110" s="782"/>
      <c r="B110" s="741"/>
      <c r="C110" s="784"/>
      <c r="D110" s="784"/>
      <c r="E110" s="785"/>
      <c r="F110" s="785"/>
    </row>
    <row r="111" spans="1:6" ht="66" customHeight="1">
      <c r="A111" s="838" t="s">
        <v>261</v>
      </c>
      <c r="B111" s="739" t="s">
        <v>1328</v>
      </c>
      <c r="C111" s="839" t="s">
        <v>926</v>
      </c>
      <c r="D111" s="840">
        <v>60</v>
      </c>
      <c r="E111" s="841"/>
      <c r="F111" s="841">
        <f>D111*E111</f>
        <v>0</v>
      </c>
    </row>
    <row r="112" spans="1:6">
      <c r="A112" s="838"/>
      <c r="B112" s="739"/>
      <c r="C112" s="842"/>
      <c r="D112" s="843"/>
      <c r="E112" s="844"/>
      <c r="F112" s="844"/>
    </row>
    <row r="113" spans="1:6" ht="56.25" customHeight="1">
      <c r="A113" s="838" t="s">
        <v>262</v>
      </c>
      <c r="B113" s="749" t="s">
        <v>1329</v>
      </c>
      <c r="C113" s="842"/>
      <c r="D113" s="843"/>
      <c r="E113" s="844"/>
      <c r="F113" s="844"/>
    </row>
    <row r="114" spans="1:6" ht="15.75" customHeight="1">
      <c r="A114" s="845" t="s">
        <v>1267</v>
      </c>
      <c r="B114" s="740" t="s">
        <v>1330</v>
      </c>
      <c r="C114" s="840" t="s">
        <v>42</v>
      </c>
      <c r="D114" s="840">
        <v>2</v>
      </c>
      <c r="E114" s="846"/>
      <c r="F114" s="841">
        <f>D114*E114</f>
        <v>0</v>
      </c>
    </row>
    <row r="115" spans="1:6">
      <c r="A115" s="838"/>
      <c r="B115" s="750"/>
      <c r="C115" s="842"/>
      <c r="D115" s="843"/>
      <c r="E115" s="844"/>
      <c r="F115" s="844"/>
    </row>
    <row r="116" spans="1:6" ht="42" customHeight="1">
      <c r="A116" s="845" t="s">
        <v>263</v>
      </c>
      <c r="B116" s="751" t="s">
        <v>1331</v>
      </c>
      <c r="C116" s="840" t="s">
        <v>1278</v>
      </c>
      <c r="D116" s="840">
        <v>1</v>
      </c>
      <c r="E116" s="805"/>
      <c r="F116" s="841">
        <f>D116*E116</f>
        <v>0</v>
      </c>
    </row>
    <row r="117" spans="1:6">
      <c r="A117" s="847"/>
      <c r="B117" s="752"/>
      <c r="C117" s="843"/>
      <c r="D117" s="843"/>
      <c r="E117" s="848"/>
      <c r="F117" s="849"/>
    </row>
    <row r="118" spans="1:6" ht="63.75" customHeight="1">
      <c r="A118" s="782" t="s">
        <v>264</v>
      </c>
      <c r="B118" s="772" t="s">
        <v>1332</v>
      </c>
      <c r="C118" s="784"/>
      <c r="D118" s="784"/>
      <c r="E118" s="813"/>
      <c r="F118" s="850"/>
    </row>
    <row r="119" spans="1:6" ht="55.5" customHeight="1">
      <c r="A119" s="782" t="s">
        <v>1267</v>
      </c>
      <c r="B119" s="851" t="s">
        <v>1333</v>
      </c>
      <c r="C119" s="792" t="s">
        <v>926</v>
      </c>
      <c r="D119" s="852">
        <v>80</v>
      </c>
      <c r="E119" s="805"/>
      <c r="F119" s="841">
        <f>D119*E119</f>
        <v>0</v>
      </c>
    </row>
    <row r="120" spans="1:6" ht="57.75" customHeight="1">
      <c r="A120" s="782" t="s">
        <v>1267</v>
      </c>
      <c r="B120" s="851" t="s">
        <v>1334</v>
      </c>
      <c r="C120" s="792" t="s">
        <v>926</v>
      </c>
      <c r="D120" s="852">
        <v>220</v>
      </c>
      <c r="E120" s="805"/>
      <c r="F120" s="841">
        <f>D120*E120</f>
        <v>0</v>
      </c>
    </row>
    <row r="121" spans="1:6">
      <c r="A121" s="782"/>
      <c r="B121" s="753"/>
      <c r="C121" s="784"/>
      <c r="D121" s="853"/>
      <c r="E121" s="785"/>
      <c r="F121" s="850"/>
    </row>
    <row r="122" spans="1:6" ht="74.25" customHeight="1">
      <c r="A122" s="782" t="s">
        <v>265</v>
      </c>
      <c r="B122" s="741" t="s">
        <v>1335</v>
      </c>
      <c r="C122" s="784"/>
      <c r="D122" s="784"/>
      <c r="E122" s="785"/>
      <c r="F122" s="785"/>
    </row>
    <row r="123" spans="1:6">
      <c r="A123" s="847" t="s">
        <v>1267</v>
      </c>
      <c r="B123" s="752" t="s">
        <v>1336</v>
      </c>
      <c r="C123" s="840" t="s">
        <v>926</v>
      </c>
      <c r="D123" s="840">
        <v>50</v>
      </c>
      <c r="E123" s="846"/>
      <c r="F123" s="841">
        <f t="shared" ref="F123:F124" si="0">D123*E123</f>
        <v>0</v>
      </c>
    </row>
    <row r="124" spans="1:6">
      <c r="A124" s="847" t="s">
        <v>1267</v>
      </c>
      <c r="B124" s="752" t="s">
        <v>1337</v>
      </c>
      <c r="C124" s="840" t="s">
        <v>926</v>
      </c>
      <c r="D124" s="840">
        <v>50</v>
      </c>
      <c r="E124" s="846"/>
      <c r="F124" s="841">
        <f t="shared" si="0"/>
        <v>0</v>
      </c>
    </row>
    <row r="125" spans="1:6">
      <c r="A125" s="782"/>
      <c r="B125" s="753"/>
      <c r="C125" s="784"/>
      <c r="D125" s="853"/>
      <c r="E125" s="785"/>
      <c r="F125" s="850"/>
    </row>
    <row r="126" spans="1:6" ht="69" customHeight="1">
      <c r="A126" s="782" t="s">
        <v>266</v>
      </c>
      <c r="B126" s="741" t="s">
        <v>1338</v>
      </c>
      <c r="C126" s="784"/>
      <c r="D126" s="784"/>
      <c r="E126" s="785"/>
      <c r="F126" s="785"/>
    </row>
    <row r="127" spans="1:6">
      <c r="A127" s="847" t="s">
        <v>1267</v>
      </c>
      <c r="B127" s="752" t="s">
        <v>1339</v>
      </c>
      <c r="C127" s="840" t="s">
        <v>926</v>
      </c>
      <c r="D127" s="840">
        <v>60</v>
      </c>
      <c r="E127" s="846"/>
      <c r="F127" s="841">
        <f t="shared" ref="F127:F131" si="1">D127*E127</f>
        <v>0</v>
      </c>
    </row>
    <row r="128" spans="1:6">
      <c r="A128" s="847" t="s">
        <v>1267</v>
      </c>
      <c r="B128" s="752" t="s">
        <v>1340</v>
      </c>
      <c r="C128" s="840" t="s">
        <v>926</v>
      </c>
      <c r="D128" s="840">
        <v>140</v>
      </c>
      <c r="E128" s="846"/>
      <c r="F128" s="841">
        <f t="shared" si="1"/>
        <v>0</v>
      </c>
    </row>
    <row r="129" spans="1:6">
      <c r="A129" s="847" t="s">
        <v>1267</v>
      </c>
      <c r="B129" s="752" t="s">
        <v>1337</v>
      </c>
      <c r="C129" s="840" t="s">
        <v>926</v>
      </c>
      <c r="D129" s="840">
        <v>200</v>
      </c>
      <c r="E129" s="846"/>
      <c r="F129" s="841">
        <f t="shared" si="1"/>
        <v>0</v>
      </c>
    </row>
    <row r="130" spans="1:6">
      <c r="A130" s="847" t="s">
        <v>1267</v>
      </c>
      <c r="B130" s="752" t="s">
        <v>1336</v>
      </c>
      <c r="C130" s="840" t="s">
        <v>926</v>
      </c>
      <c r="D130" s="840">
        <v>1100</v>
      </c>
      <c r="E130" s="846"/>
      <c r="F130" s="841">
        <f t="shared" si="1"/>
        <v>0</v>
      </c>
    </row>
    <row r="131" spans="1:6">
      <c r="A131" s="847" t="s">
        <v>1267</v>
      </c>
      <c r="B131" s="752" t="s">
        <v>1341</v>
      </c>
      <c r="C131" s="840" t="s">
        <v>926</v>
      </c>
      <c r="D131" s="840">
        <v>650</v>
      </c>
      <c r="E131" s="846"/>
      <c r="F131" s="841">
        <f t="shared" si="1"/>
        <v>0</v>
      </c>
    </row>
    <row r="132" spans="1:6">
      <c r="A132" s="847"/>
      <c r="B132" s="752"/>
      <c r="C132" s="843"/>
      <c r="D132" s="843"/>
      <c r="E132" s="848"/>
      <c r="F132" s="849"/>
    </row>
    <row r="133" spans="1:6" ht="36.75" customHeight="1">
      <c r="A133" s="838" t="s">
        <v>267</v>
      </c>
      <c r="B133" s="741" t="s">
        <v>1342</v>
      </c>
      <c r="C133" s="843"/>
      <c r="D133" s="784"/>
      <c r="E133" s="789"/>
      <c r="F133" s="789"/>
    </row>
    <row r="134" spans="1:6" ht="16.5" customHeight="1">
      <c r="A134" s="782" t="s">
        <v>1267</v>
      </c>
      <c r="B134" s="741" t="s">
        <v>1343</v>
      </c>
      <c r="C134" s="840" t="s">
        <v>926</v>
      </c>
      <c r="D134" s="792">
        <v>15</v>
      </c>
      <c r="E134" s="793"/>
      <c r="F134" s="841">
        <f t="shared" ref="F134:F147" si="2">D134*E134</f>
        <v>0</v>
      </c>
    </row>
    <row r="135" spans="1:6" ht="18.75" customHeight="1">
      <c r="A135" s="782" t="s">
        <v>1267</v>
      </c>
      <c r="B135" s="741" t="s">
        <v>1344</v>
      </c>
      <c r="C135" s="840" t="s">
        <v>926</v>
      </c>
      <c r="D135" s="792">
        <v>15</v>
      </c>
      <c r="E135" s="793"/>
      <c r="F135" s="841">
        <f t="shared" si="2"/>
        <v>0</v>
      </c>
    </row>
    <row r="136" spans="1:6" ht="14.25" customHeight="1">
      <c r="A136" s="782" t="s">
        <v>1267</v>
      </c>
      <c r="B136" s="741" t="s">
        <v>1345</v>
      </c>
      <c r="C136" s="840" t="s">
        <v>926</v>
      </c>
      <c r="D136" s="792">
        <v>45</v>
      </c>
      <c r="E136" s="793"/>
      <c r="F136" s="841">
        <f t="shared" si="2"/>
        <v>0</v>
      </c>
    </row>
    <row r="137" spans="1:6" ht="18.75" customHeight="1">
      <c r="A137" s="782" t="s">
        <v>1267</v>
      </c>
      <c r="B137" s="741" t="s">
        <v>1346</v>
      </c>
      <c r="C137" s="840" t="s">
        <v>926</v>
      </c>
      <c r="D137" s="792">
        <v>40</v>
      </c>
      <c r="E137" s="793"/>
      <c r="F137" s="841">
        <f t="shared" si="2"/>
        <v>0</v>
      </c>
    </row>
    <row r="138" spans="1:6" ht="14.25" customHeight="1">
      <c r="A138" s="782" t="s">
        <v>1267</v>
      </c>
      <c r="B138" s="741" t="s">
        <v>1347</v>
      </c>
      <c r="C138" s="840" t="s">
        <v>926</v>
      </c>
      <c r="D138" s="792">
        <v>120</v>
      </c>
      <c r="E138" s="793"/>
      <c r="F138" s="841">
        <f t="shared" si="2"/>
        <v>0</v>
      </c>
    </row>
    <row r="139" spans="1:6" ht="18" customHeight="1">
      <c r="A139" s="782" t="s">
        <v>1267</v>
      </c>
      <c r="B139" s="741" t="s">
        <v>1348</v>
      </c>
      <c r="C139" s="840" t="s">
        <v>926</v>
      </c>
      <c r="D139" s="792">
        <v>20</v>
      </c>
      <c r="E139" s="793"/>
      <c r="F139" s="841">
        <f t="shared" si="2"/>
        <v>0</v>
      </c>
    </row>
    <row r="140" spans="1:6" ht="27" customHeight="1">
      <c r="A140" s="782" t="s">
        <v>1267</v>
      </c>
      <c r="B140" s="741" t="s">
        <v>1349</v>
      </c>
      <c r="C140" s="840" t="s">
        <v>926</v>
      </c>
      <c r="D140" s="792">
        <v>440</v>
      </c>
      <c r="E140" s="793"/>
      <c r="F140" s="841">
        <f t="shared" si="2"/>
        <v>0</v>
      </c>
    </row>
    <row r="141" spans="1:6" ht="18.75" customHeight="1">
      <c r="A141" s="782" t="s">
        <v>1267</v>
      </c>
      <c r="B141" s="741" t="s">
        <v>1350</v>
      </c>
      <c r="C141" s="840" t="s">
        <v>926</v>
      </c>
      <c r="D141" s="792">
        <v>1100</v>
      </c>
      <c r="E141" s="793"/>
      <c r="F141" s="841">
        <f t="shared" si="2"/>
        <v>0</v>
      </c>
    </row>
    <row r="142" spans="1:6" ht="16.5" customHeight="1">
      <c r="A142" s="782" t="s">
        <v>1267</v>
      </c>
      <c r="B142" s="741" t="s">
        <v>1351</v>
      </c>
      <c r="C142" s="840" t="s">
        <v>926</v>
      </c>
      <c r="D142" s="792">
        <v>400</v>
      </c>
      <c r="E142" s="793"/>
      <c r="F142" s="841">
        <f t="shared" si="2"/>
        <v>0</v>
      </c>
    </row>
    <row r="143" spans="1:6" ht="13.5" customHeight="1">
      <c r="A143" s="782" t="s">
        <v>1267</v>
      </c>
      <c r="B143" s="741" t="s">
        <v>1352</v>
      </c>
      <c r="C143" s="840" t="s">
        <v>926</v>
      </c>
      <c r="D143" s="792">
        <v>1500</v>
      </c>
      <c r="E143" s="793"/>
      <c r="F143" s="841">
        <f t="shared" si="2"/>
        <v>0</v>
      </c>
    </row>
    <row r="144" spans="1:6" ht="19.5" customHeight="1">
      <c r="A144" s="782" t="s">
        <v>1267</v>
      </c>
      <c r="B144" s="741" t="s">
        <v>1353</v>
      </c>
      <c r="C144" s="840" t="s">
        <v>926</v>
      </c>
      <c r="D144" s="792">
        <v>600</v>
      </c>
      <c r="E144" s="793"/>
      <c r="F144" s="841">
        <f t="shared" si="2"/>
        <v>0</v>
      </c>
    </row>
    <row r="145" spans="1:6" ht="19.5" customHeight="1">
      <c r="A145" s="782" t="s">
        <v>1267</v>
      </c>
      <c r="B145" s="741" t="s">
        <v>1354</v>
      </c>
      <c r="C145" s="840" t="s">
        <v>926</v>
      </c>
      <c r="D145" s="792">
        <v>40</v>
      </c>
      <c r="E145" s="793"/>
      <c r="F145" s="841">
        <f t="shared" si="2"/>
        <v>0</v>
      </c>
    </row>
    <row r="146" spans="1:6" ht="18" customHeight="1">
      <c r="A146" s="782" t="s">
        <v>1267</v>
      </c>
      <c r="B146" s="741" t="s">
        <v>1355</v>
      </c>
      <c r="C146" s="840" t="s">
        <v>926</v>
      </c>
      <c r="D146" s="792">
        <v>450</v>
      </c>
      <c r="E146" s="793"/>
      <c r="F146" s="841">
        <f t="shared" si="2"/>
        <v>0</v>
      </c>
    </row>
    <row r="147" spans="1:6" ht="17.25" customHeight="1">
      <c r="A147" s="782" t="s">
        <v>1267</v>
      </c>
      <c r="B147" s="741" t="s">
        <v>1356</v>
      </c>
      <c r="C147" s="840" t="s">
        <v>926</v>
      </c>
      <c r="D147" s="792">
        <v>600</v>
      </c>
      <c r="E147" s="793"/>
      <c r="F147" s="841">
        <f t="shared" si="2"/>
        <v>0</v>
      </c>
    </row>
    <row r="148" spans="1:6">
      <c r="A148" s="782"/>
      <c r="B148" s="741"/>
      <c r="C148" s="854"/>
      <c r="D148" s="855"/>
      <c r="E148" s="856"/>
      <c r="F148" s="856"/>
    </row>
    <row r="149" spans="1:6" ht="42" customHeight="1">
      <c r="A149" s="845" t="s">
        <v>268</v>
      </c>
      <c r="B149" s="741" t="s">
        <v>1357</v>
      </c>
      <c r="C149" s="843"/>
      <c r="D149" s="843"/>
      <c r="E149" s="848"/>
      <c r="F149" s="849"/>
    </row>
    <row r="150" spans="1:6" ht="17.25" customHeight="1">
      <c r="A150" s="845" t="s">
        <v>1267</v>
      </c>
      <c r="B150" s="741" t="s">
        <v>1358</v>
      </c>
      <c r="C150" s="840" t="s">
        <v>926</v>
      </c>
      <c r="D150" s="840">
        <v>150</v>
      </c>
      <c r="E150" s="846"/>
      <c r="F150" s="841">
        <f>D150*E150</f>
        <v>0</v>
      </c>
    </row>
    <row r="151" spans="1:6">
      <c r="A151" s="845"/>
      <c r="B151" s="741"/>
      <c r="C151" s="843"/>
      <c r="D151" s="843"/>
      <c r="E151" s="848"/>
      <c r="F151" s="849"/>
    </row>
    <row r="152" spans="1:6" ht="39.75" customHeight="1">
      <c r="A152" s="845" t="s">
        <v>269</v>
      </c>
      <c r="B152" s="741" t="s">
        <v>1359</v>
      </c>
      <c r="C152" s="843"/>
      <c r="D152" s="843"/>
      <c r="E152" s="785"/>
      <c r="F152" s="785"/>
    </row>
    <row r="153" spans="1:6" ht="31.5" customHeight="1">
      <c r="A153" s="845" t="s">
        <v>1267</v>
      </c>
      <c r="B153" s="741" t="s">
        <v>1360</v>
      </c>
      <c r="C153" s="840" t="s">
        <v>42</v>
      </c>
      <c r="D153" s="840">
        <v>157</v>
      </c>
      <c r="E153" s="805"/>
      <c r="F153" s="841">
        <f t="shared" ref="F153:F159" si="3">D153*E153</f>
        <v>0</v>
      </c>
    </row>
    <row r="154" spans="1:6" ht="26.25" customHeight="1">
      <c r="A154" s="845" t="s">
        <v>1267</v>
      </c>
      <c r="B154" s="741" t="s">
        <v>1361</v>
      </c>
      <c r="C154" s="857" t="s">
        <v>42</v>
      </c>
      <c r="D154" s="857">
        <v>47</v>
      </c>
      <c r="E154" s="809"/>
      <c r="F154" s="841">
        <f t="shared" si="3"/>
        <v>0</v>
      </c>
    </row>
    <row r="155" spans="1:6" ht="21" customHeight="1">
      <c r="A155" s="845" t="s">
        <v>1267</v>
      </c>
      <c r="B155" s="741" t="s">
        <v>1362</v>
      </c>
      <c r="C155" s="857" t="s">
        <v>42</v>
      </c>
      <c r="D155" s="857">
        <v>47</v>
      </c>
      <c r="E155" s="809"/>
      <c r="F155" s="841">
        <f t="shared" si="3"/>
        <v>0</v>
      </c>
    </row>
    <row r="156" spans="1:6" ht="18.75" customHeight="1">
      <c r="A156" s="845" t="s">
        <v>1267</v>
      </c>
      <c r="B156" s="741" t="s">
        <v>1363</v>
      </c>
      <c r="C156" s="857" t="s">
        <v>42</v>
      </c>
      <c r="D156" s="857">
        <v>47</v>
      </c>
      <c r="E156" s="809"/>
      <c r="F156" s="841">
        <f t="shared" si="3"/>
        <v>0</v>
      </c>
    </row>
    <row r="157" spans="1:6" ht="16.5" customHeight="1">
      <c r="A157" s="845" t="s">
        <v>1267</v>
      </c>
      <c r="B157" s="741" t="s">
        <v>1364</v>
      </c>
      <c r="C157" s="857" t="s">
        <v>42</v>
      </c>
      <c r="D157" s="857">
        <v>55</v>
      </c>
      <c r="E157" s="809"/>
      <c r="F157" s="841">
        <f t="shared" si="3"/>
        <v>0</v>
      </c>
    </row>
    <row r="158" spans="1:6" ht="21" customHeight="1">
      <c r="A158" s="845" t="s">
        <v>1267</v>
      </c>
      <c r="B158" s="741" t="s">
        <v>1365</v>
      </c>
      <c r="C158" s="857" t="s">
        <v>42</v>
      </c>
      <c r="D158" s="857">
        <v>55</v>
      </c>
      <c r="E158" s="809"/>
      <c r="F158" s="841">
        <f t="shared" si="3"/>
        <v>0</v>
      </c>
    </row>
    <row r="159" spans="1:6" ht="21" customHeight="1">
      <c r="A159" s="845" t="s">
        <v>1267</v>
      </c>
      <c r="B159" s="741" t="s">
        <v>1366</v>
      </c>
      <c r="C159" s="857" t="s">
        <v>42</v>
      </c>
      <c r="D159" s="857">
        <v>55</v>
      </c>
      <c r="E159" s="809"/>
      <c r="F159" s="841">
        <f t="shared" si="3"/>
        <v>0</v>
      </c>
    </row>
    <row r="160" spans="1:6">
      <c r="A160" s="845"/>
      <c r="B160" s="741"/>
      <c r="C160" s="843"/>
      <c r="D160" s="843"/>
      <c r="E160" s="785"/>
      <c r="F160" s="785"/>
    </row>
    <row r="161" spans="1:6" ht="56.25" customHeight="1">
      <c r="A161" s="858" t="s">
        <v>270</v>
      </c>
      <c r="B161" s="754" t="s">
        <v>1367</v>
      </c>
      <c r="C161" s="859"/>
      <c r="D161" s="859"/>
      <c r="E161" s="785"/>
      <c r="F161" s="785"/>
    </row>
    <row r="162" spans="1:6" ht="57.75" customHeight="1">
      <c r="A162" s="858" t="s">
        <v>1267</v>
      </c>
      <c r="B162" s="755" t="s">
        <v>1368</v>
      </c>
      <c r="C162" s="860" t="s">
        <v>42</v>
      </c>
      <c r="D162" s="860">
        <v>5</v>
      </c>
      <c r="E162" s="805"/>
      <c r="F162" s="841">
        <f t="shared" ref="F162:F165" si="4">D162*E162</f>
        <v>0</v>
      </c>
    </row>
    <row r="163" spans="1:6" ht="21" customHeight="1">
      <c r="A163" s="858" t="s">
        <v>1267</v>
      </c>
      <c r="B163" s="741" t="s">
        <v>1361</v>
      </c>
      <c r="C163" s="860" t="s">
        <v>42</v>
      </c>
      <c r="D163" s="860">
        <v>5</v>
      </c>
      <c r="E163" s="805"/>
      <c r="F163" s="841">
        <f t="shared" si="4"/>
        <v>0</v>
      </c>
    </row>
    <row r="164" spans="1:6" ht="16.5" customHeight="1">
      <c r="A164" s="845" t="s">
        <v>1267</v>
      </c>
      <c r="B164" s="741" t="s">
        <v>1369</v>
      </c>
      <c r="C164" s="857" t="s">
        <v>42</v>
      </c>
      <c r="D164" s="857">
        <v>5</v>
      </c>
      <c r="E164" s="809"/>
      <c r="F164" s="841">
        <f t="shared" si="4"/>
        <v>0</v>
      </c>
    </row>
    <row r="165" spans="1:6" ht="17.25" customHeight="1">
      <c r="A165" s="845" t="s">
        <v>1267</v>
      </c>
      <c r="B165" s="741" t="s">
        <v>1363</v>
      </c>
      <c r="C165" s="857" t="s">
        <v>42</v>
      </c>
      <c r="D165" s="857">
        <v>5</v>
      </c>
      <c r="E165" s="809"/>
      <c r="F165" s="841">
        <f t="shared" si="4"/>
        <v>0</v>
      </c>
    </row>
    <row r="166" spans="1:6">
      <c r="A166" s="845"/>
      <c r="B166" s="741"/>
      <c r="C166" s="843"/>
      <c r="D166" s="843"/>
      <c r="E166" s="785"/>
      <c r="F166" s="785"/>
    </row>
    <row r="167" spans="1:6" ht="161.25" customHeight="1">
      <c r="A167" s="858" t="s">
        <v>271</v>
      </c>
      <c r="B167" s="754" t="s">
        <v>1370</v>
      </c>
      <c r="C167" s="859"/>
      <c r="D167" s="859"/>
      <c r="E167" s="785"/>
      <c r="F167" s="785"/>
    </row>
    <row r="168" spans="1:6" ht="32.25" customHeight="1">
      <c r="A168" s="858" t="s">
        <v>1267</v>
      </c>
      <c r="B168" s="755" t="s">
        <v>1371</v>
      </c>
      <c r="C168" s="860" t="s">
        <v>42</v>
      </c>
      <c r="D168" s="860">
        <v>2</v>
      </c>
      <c r="E168" s="805"/>
      <c r="F168" s="841">
        <f t="shared" ref="F168:F170" si="5">D168*E168</f>
        <v>0</v>
      </c>
    </row>
    <row r="169" spans="1:6" ht="22.5" customHeight="1">
      <c r="A169" s="845" t="s">
        <v>1267</v>
      </c>
      <c r="B169" s="741" t="s">
        <v>1372</v>
      </c>
      <c r="C169" s="857" t="s">
        <v>42</v>
      </c>
      <c r="D169" s="857">
        <v>2</v>
      </c>
      <c r="E169" s="809"/>
      <c r="F169" s="841">
        <f t="shared" si="5"/>
        <v>0</v>
      </c>
    </row>
    <row r="170" spans="1:6" ht="15" customHeight="1">
      <c r="A170" s="815" t="s">
        <v>1267</v>
      </c>
      <c r="B170" s="741" t="s">
        <v>1373</v>
      </c>
      <c r="C170" s="861" t="s">
        <v>1278</v>
      </c>
      <c r="D170" s="861">
        <v>4</v>
      </c>
      <c r="E170" s="862"/>
      <c r="F170" s="841">
        <f t="shared" si="5"/>
        <v>0</v>
      </c>
    </row>
    <row r="171" spans="1:6">
      <c r="A171" s="845"/>
      <c r="B171" s="741"/>
      <c r="C171" s="843"/>
      <c r="D171" s="843"/>
      <c r="E171" s="785"/>
      <c r="F171" s="785"/>
    </row>
    <row r="172" spans="1:6" ht="39.75" customHeight="1">
      <c r="A172" s="845" t="s">
        <v>272</v>
      </c>
      <c r="B172" s="751" t="s">
        <v>1374</v>
      </c>
      <c r="C172" s="840" t="s">
        <v>42</v>
      </c>
      <c r="D172" s="840">
        <v>3</v>
      </c>
      <c r="E172" s="793"/>
      <c r="F172" s="841">
        <f>D172*E172</f>
        <v>0</v>
      </c>
    </row>
    <row r="173" spans="1:6">
      <c r="A173" s="845"/>
      <c r="B173" s="737"/>
      <c r="C173" s="843"/>
      <c r="D173" s="843"/>
      <c r="E173" s="863"/>
      <c r="F173" s="863"/>
    </row>
    <row r="174" spans="1:6" ht="25.5" customHeight="1">
      <c r="A174" s="845" t="s">
        <v>273</v>
      </c>
      <c r="B174" s="751" t="s">
        <v>1375</v>
      </c>
      <c r="C174" s="840" t="s">
        <v>42</v>
      </c>
      <c r="D174" s="840">
        <v>20</v>
      </c>
      <c r="E174" s="793"/>
      <c r="F174" s="841">
        <f>D174*E174</f>
        <v>0</v>
      </c>
    </row>
    <row r="175" spans="1:6">
      <c r="A175" s="864"/>
      <c r="B175" s="865"/>
      <c r="C175" s="866"/>
      <c r="D175" s="866"/>
      <c r="E175" s="867"/>
      <c r="F175" s="849"/>
    </row>
    <row r="176" spans="1:6" ht="16.5" customHeight="1">
      <c r="A176" s="845" t="s">
        <v>274</v>
      </c>
      <c r="B176" s="751" t="s">
        <v>1376</v>
      </c>
      <c r="C176" s="840" t="s">
        <v>42</v>
      </c>
      <c r="D176" s="840">
        <v>1</v>
      </c>
      <c r="E176" s="793"/>
      <c r="F176" s="841">
        <f>D176*E176</f>
        <v>0</v>
      </c>
    </row>
    <row r="177" spans="1:6">
      <c r="A177" s="845"/>
      <c r="B177" s="751"/>
      <c r="C177" s="843"/>
      <c r="D177" s="843"/>
      <c r="E177" s="789"/>
      <c r="F177" s="789"/>
    </row>
    <row r="178" spans="1:6" ht="25.5" customHeight="1">
      <c r="A178" s="845" t="s">
        <v>275</v>
      </c>
      <c r="B178" s="751" t="s">
        <v>1377</v>
      </c>
      <c r="C178" s="840" t="s">
        <v>1278</v>
      </c>
      <c r="D178" s="840">
        <v>2</v>
      </c>
      <c r="E178" s="793"/>
      <c r="F178" s="841">
        <f>D178*E178</f>
        <v>0</v>
      </c>
    </row>
    <row r="179" spans="1:6">
      <c r="A179" s="845"/>
      <c r="B179" s="751"/>
      <c r="C179" s="843"/>
      <c r="D179" s="843"/>
      <c r="E179" s="789"/>
      <c r="F179" s="789"/>
    </row>
    <row r="180" spans="1:6" ht="11.25" customHeight="1">
      <c r="A180" s="845" t="s">
        <v>276</v>
      </c>
      <c r="B180" s="751" t="s">
        <v>1378</v>
      </c>
      <c r="C180" s="840" t="s">
        <v>1278</v>
      </c>
      <c r="D180" s="840">
        <v>2</v>
      </c>
      <c r="E180" s="793"/>
      <c r="F180" s="841">
        <f>D180*E180</f>
        <v>0</v>
      </c>
    </row>
    <row r="181" spans="1:6">
      <c r="A181" s="845"/>
      <c r="B181" s="751"/>
      <c r="C181" s="843"/>
      <c r="D181" s="843"/>
      <c r="E181" s="789"/>
      <c r="F181" s="789"/>
    </row>
    <row r="182" spans="1:6" ht="13.5" customHeight="1">
      <c r="A182" s="845" t="s">
        <v>277</v>
      </c>
      <c r="B182" s="751" t="s">
        <v>1379</v>
      </c>
      <c r="C182" s="840" t="s">
        <v>1278</v>
      </c>
      <c r="D182" s="840">
        <v>5</v>
      </c>
      <c r="E182" s="793"/>
      <c r="F182" s="841">
        <f>D182*E182</f>
        <v>0</v>
      </c>
    </row>
    <row r="183" spans="1:6">
      <c r="A183" s="845"/>
      <c r="B183" s="751"/>
      <c r="C183" s="843"/>
      <c r="D183" s="843"/>
      <c r="E183" s="789"/>
      <c r="F183" s="789"/>
    </row>
    <row r="184" spans="1:6" ht="26.25" customHeight="1">
      <c r="A184" s="845" t="s">
        <v>278</v>
      </c>
      <c r="B184" s="751" t="s">
        <v>1380</v>
      </c>
      <c r="C184" s="840" t="s">
        <v>1278</v>
      </c>
      <c r="D184" s="840">
        <v>20</v>
      </c>
      <c r="E184" s="793"/>
      <c r="F184" s="841">
        <f>D184*E184</f>
        <v>0</v>
      </c>
    </row>
    <row r="185" spans="1:6">
      <c r="A185" s="845"/>
      <c r="B185" s="751"/>
      <c r="C185" s="843"/>
      <c r="D185" s="843"/>
      <c r="E185" s="789"/>
      <c r="F185" s="789"/>
    </row>
    <row r="186" spans="1:6" ht="14.25" customHeight="1">
      <c r="A186" s="845" t="s">
        <v>279</v>
      </c>
      <c r="B186" s="751" t="s">
        <v>1381</v>
      </c>
      <c r="C186" s="840" t="s">
        <v>1278</v>
      </c>
      <c r="D186" s="840">
        <v>8</v>
      </c>
      <c r="E186" s="793"/>
      <c r="F186" s="841">
        <f>D186*E186</f>
        <v>0</v>
      </c>
    </row>
    <row r="187" spans="1:6">
      <c r="A187" s="845"/>
      <c r="B187" s="751"/>
      <c r="C187" s="843"/>
      <c r="D187" s="843"/>
      <c r="E187" s="789"/>
      <c r="F187" s="789"/>
    </row>
    <row r="188" spans="1:6" ht="24" customHeight="1">
      <c r="A188" s="845" t="s">
        <v>280</v>
      </c>
      <c r="B188" s="751" t="s">
        <v>1382</v>
      </c>
      <c r="C188" s="840" t="s">
        <v>1278</v>
      </c>
      <c r="D188" s="840">
        <v>3</v>
      </c>
      <c r="E188" s="793"/>
      <c r="F188" s="841">
        <f>D188*E188</f>
        <v>0</v>
      </c>
    </row>
    <row r="189" spans="1:6">
      <c r="A189" s="845"/>
      <c r="B189" s="751"/>
      <c r="C189" s="843"/>
      <c r="D189" s="843"/>
      <c r="E189" s="789"/>
      <c r="F189" s="789"/>
    </row>
    <row r="190" spans="1:6" ht="27" customHeight="1">
      <c r="A190" s="845" t="s">
        <v>1383</v>
      </c>
      <c r="B190" s="751" t="s">
        <v>1384</v>
      </c>
      <c r="C190" s="840" t="s">
        <v>1278</v>
      </c>
      <c r="D190" s="840">
        <v>8</v>
      </c>
      <c r="E190" s="793"/>
      <c r="F190" s="841">
        <f>D190*E190</f>
        <v>0</v>
      </c>
    </row>
    <row r="191" spans="1:6">
      <c r="A191" s="845"/>
      <c r="B191" s="751"/>
      <c r="C191" s="843"/>
      <c r="D191" s="843"/>
      <c r="E191" s="789"/>
      <c r="F191" s="789"/>
    </row>
    <row r="192" spans="1:6" ht="25.5" customHeight="1">
      <c r="A192" s="845" t="s">
        <v>1385</v>
      </c>
      <c r="B192" s="751" t="s">
        <v>1386</v>
      </c>
      <c r="C192" s="840" t="s">
        <v>1278</v>
      </c>
      <c r="D192" s="840">
        <v>11</v>
      </c>
      <c r="E192" s="793"/>
      <c r="F192" s="841">
        <f>D192*E192</f>
        <v>0</v>
      </c>
    </row>
    <row r="193" spans="1:6">
      <c r="A193" s="845"/>
      <c r="B193" s="751"/>
      <c r="C193" s="843"/>
      <c r="D193" s="843"/>
      <c r="E193" s="789"/>
      <c r="F193" s="789"/>
    </row>
    <row r="194" spans="1:6" ht="20.25" customHeight="1">
      <c r="A194" s="845" t="s">
        <v>1387</v>
      </c>
      <c r="B194" s="751" t="s">
        <v>1388</v>
      </c>
      <c r="C194" s="840" t="s">
        <v>1278</v>
      </c>
      <c r="D194" s="840">
        <v>6</v>
      </c>
      <c r="E194" s="793"/>
      <c r="F194" s="841">
        <f>D194*E194</f>
        <v>0</v>
      </c>
    </row>
    <row r="195" spans="1:6">
      <c r="A195" s="845"/>
      <c r="B195" s="751"/>
      <c r="C195" s="843"/>
      <c r="D195" s="843"/>
      <c r="E195" s="789"/>
      <c r="F195" s="789"/>
    </row>
    <row r="196" spans="1:6" ht="54" customHeight="1">
      <c r="A196" s="845" t="s">
        <v>1389</v>
      </c>
      <c r="B196" s="740" t="s">
        <v>1390</v>
      </c>
      <c r="C196" s="840" t="s">
        <v>42</v>
      </c>
      <c r="D196" s="840">
        <v>3</v>
      </c>
      <c r="E196" s="846"/>
      <c r="F196" s="841">
        <f>D196*E196</f>
        <v>0</v>
      </c>
    </row>
    <row r="197" spans="1:6">
      <c r="A197" s="845"/>
      <c r="B197" s="751"/>
      <c r="C197" s="843"/>
      <c r="D197" s="843"/>
      <c r="E197" s="785"/>
      <c r="F197" s="785"/>
    </row>
    <row r="198" spans="1:6" ht="177.75" customHeight="1">
      <c r="A198" s="845" t="s">
        <v>1391</v>
      </c>
      <c r="B198" s="741" t="s">
        <v>1392</v>
      </c>
      <c r="C198" s="840" t="s">
        <v>1278</v>
      </c>
      <c r="D198" s="840">
        <v>2</v>
      </c>
      <c r="E198" s="805"/>
      <c r="F198" s="841">
        <f>D198*E198</f>
        <v>0</v>
      </c>
    </row>
    <row r="199" spans="1:6">
      <c r="A199" s="845"/>
      <c r="B199" s="741"/>
      <c r="C199" s="843"/>
      <c r="D199" s="843"/>
      <c r="E199" s="785"/>
      <c r="F199" s="785"/>
    </row>
    <row r="200" spans="1:6" ht="21" customHeight="1">
      <c r="A200" s="845" t="s">
        <v>1393</v>
      </c>
      <c r="B200" s="751" t="s">
        <v>1394</v>
      </c>
      <c r="C200" s="840" t="s">
        <v>1278</v>
      </c>
      <c r="D200" s="840">
        <v>8</v>
      </c>
      <c r="E200" s="793"/>
      <c r="F200" s="841">
        <f>D200*E200</f>
        <v>0</v>
      </c>
    </row>
    <row r="201" spans="1:6">
      <c r="A201" s="845"/>
      <c r="B201" s="751"/>
      <c r="C201" s="843"/>
      <c r="D201" s="843"/>
      <c r="E201" s="789"/>
      <c r="F201" s="789"/>
    </row>
    <row r="202" spans="1:6" ht="16.5" customHeight="1">
      <c r="A202" s="845" t="s">
        <v>1395</v>
      </c>
      <c r="B202" s="751" t="s">
        <v>1396</v>
      </c>
      <c r="C202" s="840" t="s">
        <v>1278</v>
      </c>
      <c r="D202" s="840">
        <v>1</v>
      </c>
      <c r="E202" s="793"/>
      <c r="F202" s="841">
        <f>D202*E202</f>
        <v>0</v>
      </c>
    </row>
    <row r="203" spans="1:6">
      <c r="A203" s="845"/>
      <c r="B203" s="751"/>
      <c r="C203" s="843"/>
      <c r="D203" s="843"/>
      <c r="E203" s="789"/>
      <c r="F203" s="789"/>
    </row>
    <row r="204" spans="1:6" ht="13.5" customHeight="1">
      <c r="A204" s="845" t="s">
        <v>1397</v>
      </c>
      <c r="B204" s="751" t="s">
        <v>1398</v>
      </c>
      <c r="C204" s="840" t="s">
        <v>1278</v>
      </c>
      <c r="D204" s="840">
        <v>1</v>
      </c>
      <c r="E204" s="793"/>
      <c r="F204" s="841">
        <f>D204*E204</f>
        <v>0</v>
      </c>
    </row>
    <row r="205" spans="1:6">
      <c r="A205" s="845"/>
      <c r="B205" s="751"/>
      <c r="C205" s="843"/>
      <c r="D205" s="843"/>
      <c r="E205" s="789"/>
      <c r="F205" s="789"/>
    </row>
    <row r="206" spans="1:6" ht="25.5" customHeight="1">
      <c r="A206" s="845" t="s">
        <v>1399</v>
      </c>
      <c r="B206" s="868" t="s">
        <v>1400</v>
      </c>
      <c r="C206" s="840" t="s">
        <v>1276</v>
      </c>
      <c r="D206" s="840">
        <v>1</v>
      </c>
      <c r="E206" s="805"/>
      <c r="F206" s="841">
        <f>D206*E206</f>
        <v>0</v>
      </c>
    </row>
    <row r="207" spans="1:6">
      <c r="A207" s="847"/>
      <c r="B207" s="752"/>
      <c r="C207" s="843"/>
      <c r="D207" s="843"/>
      <c r="E207" s="848"/>
      <c r="F207" s="849"/>
    </row>
    <row r="208" spans="1:6">
      <c r="A208" s="869"/>
      <c r="B208" s="746" t="s">
        <v>1327</v>
      </c>
      <c r="C208" s="870"/>
      <c r="D208" s="787"/>
      <c r="E208" s="756" t="s">
        <v>15</v>
      </c>
      <c r="F208" s="963">
        <f>SUM(F111:F206)</f>
        <v>0</v>
      </c>
    </row>
    <row r="209" spans="1:6" ht="30">
      <c r="A209" s="786" t="s">
        <v>1401</v>
      </c>
      <c r="B209" s="757" t="s">
        <v>1402</v>
      </c>
      <c r="C209" s="787"/>
      <c r="D209" s="787"/>
      <c r="E209" s="837"/>
      <c r="F209" s="837"/>
    </row>
    <row r="210" spans="1:6">
      <c r="A210" s="782"/>
      <c r="B210" s="726"/>
      <c r="C210" s="784"/>
      <c r="D210" s="784"/>
      <c r="E210" s="785"/>
      <c r="F210" s="785"/>
    </row>
    <row r="211" spans="1:6" ht="129.75" customHeight="1">
      <c r="A211" s="782" t="s">
        <v>261</v>
      </c>
      <c r="B211" s="726" t="s">
        <v>1403</v>
      </c>
      <c r="C211" s="792" t="s">
        <v>926</v>
      </c>
      <c r="D211" s="792">
        <v>460</v>
      </c>
      <c r="E211" s="805"/>
      <c r="F211" s="841">
        <f>D211*E211</f>
        <v>0</v>
      </c>
    </row>
    <row r="212" spans="1:6">
      <c r="A212" s="782"/>
      <c r="B212" s="726"/>
      <c r="C212" s="784"/>
      <c r="D212" s="784"/>
      <c r="E212" s="785"/>
      <c r="F212" s="785"/>
    </row>
    <row r="213" spans="1:6" ht="53.25" customHeight="1">
      <c r="A213" s="782" t="s">
        <v>262</v>
      </c>
      <c r="B213" s="726" t="s">
        <v>1404</v>
      </c>
      <c r="C213" s="784"/>
      <c r="D213" s="784"/>
      <c r="E213" s="785"/>
      <c r="F213" s="785"/>
    </row>
    <row r="214" spans="1:6">
      <c r="A214" s="782" t="s">
        <v>1267</v>
      </c>
      <c r="B214" s="758" t="s">
        <v>1405</v>
      </c>
      <c r="C214" s="840" t="s">
        <v>926</v>
      </c>
      <c r="D214" s="792">
        <v>460</v>
      </c>
      <c r="E214" s="793"/>
      <c r="F214" s="841">
        <f>D214*E214</f>
        <v>0</v>
      </c>
    </row>
    <row r="215" spans="1:6">
      <c r="A215" s="782"/>
      <c r="B215" s="726"/>
      <c r="C215" s="784"/>
      <c r="D215" s="784"/>
      <c r="E215" s="785"/>
      <c r="F215" s="785"/>
    </row>
    <row r="216" spans="1:6" ht="174" customHeight="1">
      <c r="A216" s="782" t="s">
        <v>263</v>
      </c>
      <c r="B216" s="726" t="s">
        <v>1406</v>
      </c>
      <c r="C216" s="792" t="s">
        <v>42</v>
      </c>
      <c r="D216" s="792">
        <v>9</v>
      </c>
      <c r="E216" s="805"/>
      <c r="F216" s="841">
        <f>D216*E216</f>
        <v>0</v>
      </c>
    </row>
    <row r="217" spans="1:6">
      <c r="A217" s="782"/>
      <c r="B217" s="726"/>
      <c r="C217" s="784"/>
      <c r="D217" s="784"/>
      <c r="E217" s="785"/>
      <c r="F217" s="785"/>
    </row>
    <row r="218" spans="1:6" ht="93" customHeight="1">
      <c r="A218" s="782" t="s">
        <v>264</v>
      </c>
      <c r="B218" s="726" t="s">
        <v>1407</v>
      </c>
      <c r="C218" s="792" t="s">
        <v>1278</v>
      </c>
      <c r="D218" s="792">
        <v>9</v>
      </c>
      <c r="E218" s="805"/>
      <c r="F218" s="841">
        <f>D218*E218</f>
        <v>0</v>
      </c>
    </row>
    <row r="219" spans="1:6">
      <c r="A219" s="782"/>
      <c r="B219" s="726"/>
      <c r="C219" s="784"/>
      <c r="D219" s="784"/>
      <c r="E219" s="785"/>
      <c r="F219" s="785"/>
    </row>
    <row r="220" spans="1:6" ht="119.25" customHeight="1">
      <c r="A220" s="782" t="s">
        <v>265</v>
      </c>
      <c r="B220" s="726" t="s">
        <v>1408</v>
      </c>
      <c r="C220" s="792" t="s">
        <v>1278</v>
      </c>
      <c r="D220" s="792">
        <v>9</v>
      </c>
      <c r="E220" s="805"/>
      <c r="F220" s="841">
        <f>D220*E220</f>
        <v>0</v>
      </c>
    </row>
    <row r="221" spans="1:6">
      <c r="A221" s="782"/>
      <c r="B221" s="726"/>
      <c r="C221" s="784"/>
      <c r="D221" s="784"/>
      <c r="E221" s="785"/>
      <c r="F221" s="785"/>
    </row>
    <row r="222" spans="1:6" ht="160.5" customHeight="1">
      <c r="A222" s="782" t="s">
        <v>266</v>
      </c>
      <c r="B222" s="726" t="s">
        <v>1409</v>
      </c>
      <c r="C222" s="792" t="s">
        <v>1278</v>
      </c>
      <c r="D222" s="792">
        <v>9</v>
      </c>
      <c r="E222" s="805"/>
      <c r="F222" s="841">
        <f>D222*E222</f>
        <v>0</v>
      </c>
    </row>
    <row r="223" spans="1:6">
      <c r="A223" s="782"/>
      <c r="B223" s="726"/>
      <c r="C223" s="784"/>
      <c r="D223" s="784"/>
      <c r="E223" s="785"/>
      <c r="F223" s="785"/>
    </row>
    <row r="224" spans="1:6" ht="93.75" customHeight="1">
      <c r="A224" s="782" t="s">
        <v>267</v>
      </c>
      <c r="B224" s="726" t="s">
        <v>1410</v>
      </c>
      <c r="C224" s="792" t="s">
        <v>1278</v>
      </c>
      <c r="D224" s="792">
        <v>9</v>
      </c>
      <c r="E224" s="805"/>
      <c r="F224" s="841">
        <f>D224*E224</f>
        <v>0</v>
      </c>
    </row>
    <row r="225" spans="1:6">
      <c r="A225" s="782"/>
      <c r="B225" s="726"/>
      <c r="C225" s="784"/>
      <c r="D225" s="784"/>
      <c r="E225" s="785"/>
      <c r="F225" s="785"/>
    </row>
    <row r="226" spans="1:6" ht="43.5" customHeight="1">
      <c r="A226" s="782" t="s">
        <v>268</v>
      </c>
      <c r="B226" s="726" t="s">
        <v>1411</v>
      </c>
      <c r="C226" s="784"/>
      <c r="D226" s="784"/>
      <c r="E226" s="785"/>
      <c r="F226" s="785"/>
    </row>
    <row r="227" spans="1:6">
      <c r="A227" s="782" t="s">
        <v>1267</v>
      </c>
      <c r="B227" s="741" t="s">
        <v>1412</v>
      </c>
      <c r="C227" s="840" t="s">
        <v>926</v>
      </c>
      <c r="D227" s="792">
        <v>500</v>
      </c>
      <c r="E227" s="793"/>
      <c r="F227" s="841">
        <f>D227*E227</f>
        <v>0</v>
      </c>
    </row>
    <row r="228" spans="1:6">
      <c r="A228" s="782"/>
      <c r="B228" s="726"/>
      <c r="C228" s="784"/>
      <c r="D228" s="784"/>
      <c r="E228" s="785"/>
      <c r="F228" s="785"/>
    </row>
    <row r="229" spans="1:6" ht="33" customHeight="1">
      <c r="A229" s="782" t="s">
        <v>269</v>
      </c>
      <c r="B229" s="726" t="s">
        <v>1413</v>
      </c>
      <c r="C229" s="792" t="s">
        <v>926</v>
      </c>
      <c r="D229" s="792">
        <v>500</v>
      </c>
      <c r="E229" s="805"/>
      <c r="F229" s="841">
        <f>D229*E229</f>
        <v>0</v>
      </c>
    </row>
    <row r="230" spans="1:6">
      <c r="A230" s="782"/>
      <c r="B230" s="726"/>
      <c r="C230" s="784"/>
      <c r="D230" s="784"/>
      <c r="E230" s="785"/>
      <c r="F230" s="785"/>
    </row>
    <row r="231" spans="1:6" ht="34.5" customHeight="1">
      <c r="A231" s="847" t="s">
        <v>270</v>
      </c>
      <c r="B231" s="740" t="s">
        <v>1414</v>
      </c>
      <c r="C231" s="843"/>
      <c r="D231" s="843"/>
      <c r="E231" s="848"/>
      <c r="F231" s="849"/>
    </row>
    <row r="232" spans="1:6">
      <c r="A232" s="782" t="s">
        <v>1267</v>
      </c>
      <c r="B232" s="741" t="s">
        <v>1415</v>
      </c>
      <c r="C232" s="840" t="s">
        <v>926</v>
      </c>
      <c r="D232" s="792">
        <v>100</v>
      </c>
      <c r="E232" s="793"/>
      <c r="F232" s="841">
        <f>D232*E232</f>
        <v>0</v>
      </c>
    </row>
    <row r="233" spans="1:6">
      <c r="A233" s="782"/>
      <c r="B233" s="741"/>
      <c r="C233" s="843"/>
      <c r="D233" s="784"/>
      <c r="E233" s="789"/>
      <c r="F233" s="789"/>
    </row>
    <row r="234" spans="1:6" ht="23.25" customHeight="1">
      <c r="A234" s="782" t="s">
        <v>271</v>
      </c>
      <c r="B234" s="741" t="s">
        <v>1416</v>
      </c>
      <c r="C234" s="784"/>
      <c r="D234" s="784"/>
      <c r="E234" s="785"/>
      <c r="F234" s="785"/>
    </row>
    <row r="235" spans="1:6" ht="15.75" customHeight="1">
      <c r="A235" s="782" t="s">
        <v>1267</v>
      </c>
      <c r="B235" s="741" t="s">
        <v>1417</v>
      </c>
      <c r="C235" s="840" t="s">
        <v>926</v>
      </c>
      <c r="D235" s="792">
        <v>300</v>
      </c>
      <c r="E235" s="793"/>
      <c r="F235" s="841">
        <f>D235*E235</f>
        <v>0</v>
      </c>
    </row>
    <row r="236" spans="1:6">
      <c r="A236" s="782"/>
      <c r="B236" s="753"/>
      <c r="C236" s="784"/>
      <c r="D236" s="853"/>
      <c r="E236" s="785"/>
      <c r="F236" s="850"/>
    </row>
    <row r="237" spans="1:6" ht="33" customHeight="1">
      <c r="A237" s="838" t="s">
        <v>272</v>
      </c>
      <c r="B237" s="759" t="s">
        <v>1418</v>
      </c>
      <c r="C237" s="843"/>
      <c r="D237" s="784"/>
      <c r="E237" s="789"/>
      <c r="F237" s="789"/>
    </row>
    <row r="238" spans="1:6" ht="13.5" customHeight="1">
      <c r="A238" s="782" t="s">
        <v>1267</v>
      </c>
      <c r="B238" s="741" t="s">
        <v>1415</v>
      </c>
      <c r="C238" s="840" t="s">
        <v>926</v>
      </c>
      <c r="D238" s="792">
        <v>200</v>
      </c>
      <c r="E238" s="793"/>
      <c r="F238" s="841">
        <f>D238*E238</f>
        <v>0</v>
      </c>
    </row>
    <row r="239" spans="1:6">
      <c r="A239" s="847"/>
      <c r="B239" s="741"/>
      <c r="C239" s="843"/>
      <c r="D239" s="843"/>
      <c r="E239" s="848"/>
      <c r="F239" s="871"/>
    </row>
    <row r="240" spans="1:6" ht="30" customHeight="1">
      <c r="A240" s="838" t="s">
        <v>273</v>
      </c>
      <c r="B240" s="741" t="s">
        <v>1419</v>
      </c>
      <c r="C240" s="843"/>
      <c r="D240" s="784"/>
      <c r="E240" s="789"/>
      <c r="F240" s="789"/>
    </row>
    <row r="241" spans="1:6">
      <c r="A241" s="782" t="s">
        <v>1267</v>
      </c>
      <c r="B241" s="741" t="s">
        <v>1420</v>
      </c>
      <c r="C241" s="840" t="s">
        <v>926</v>
      </c>
      <c r="D241" s="792">
        <v>600</v>
      </c>
      <c r="E241" s="793"/>
      <c r="F241" s="841">
        <f t="shared" ref="F241:F242" si="6">D241*E241</f>
        <v>0</v>
      </c>
    </row>
    <row r="242" spans="1:6" ht="27" customHeight="1">
      <c r="A242" s="782" t="s">
        <v>1267</v>
      </c>
      <c r="B242" s="741" t="s">
        <v>1421</v>
      </c>
      <c r="C242" s="840" t="s">
        <v>926</v>
      </c>
      <c r="D242" s="792">
        <v>2000</v>
      </c>
      <c r="E242" s="793"/>
      <c r="F242" s="841">
        <f t="shared" si="6"/>
        <v>0</v>
      </c>
    </row>
    <row r="243" spans="1:6">
      <c r="A243" s="782"/>
      <c r="B243" s="741"/>
      <c r="C243" s="843"/>
      <c r="D243" s="784"/>
      <c r="E243" s="789"/>
      <c r="F243" s="789"/>
    </row>
    <row r="244" spans="1:6" ht="35.25" customHeight="1">
      <c r="A244" s="845" t="s">
        <v>274</v>
      </c>
      <c r="B244" s="740" t="s">
        <v>1422</v>
      </c>
      <c r="C244" s="843"/>
      <c r="D244" s="843"/>
      <c r="E244" s="848"/>
      <c r="F244" s="849"/>
    </row>
    <row r="245" spans="1:6" ht="28.5" customHeight="1">
      <c r="A245" s="845" t="s">
        <v>1267</v>
      </c>
      <c r="B245" s="740" t="s">
        <v>1423</v>
      </c>
      <c r="C245" s="840" t="s">
        <v>42</v>
      </c>
      <c r="D245" s="840">
        <v>9</v>
      </c>
      <c r="E245" s="846"/>
      <c r="F245" s="841">
        <f t="shared" ref="F245:F251" si="7">D245*E245</f>
        <v>0</v>
      </c>
    </row>
    <row r="246" spans="1:6" ht="19.5" customHeight="1">
      <c r="A246" s="845" t="s">
        <v>1267</v>
      </c>
      <c r="B246" s="740" t="s">
        <v>1424</v>
      </c>
      <c r="C246" s="840" t="s">
        <v>42</v>
      </c>
      <c r="D246" s="840">
        <v>32</v>
      </c>
      <c r="E246" s="846"/>
      <c r="F246" s="841">
        <f t="shared" si="7"/>
        <v>0</v>
      </c>
    </row>
    <row r="247" spans="1:6" ht="21" customHeight="1">
      <c r="A247" s="845" t="s">
        <v>1267</v>
      </c>
      <c r="B247" s="740" t="s">
        <v>1425</v>
      </c>
      <c r="C247" s="857" t="s">
        <v>42</v>
      </c>
      <c r="D247" s="857">
        <v>7</v>
      </c>
      <c r="E247" s="872"/>
      <c r="F247" s="841">
        <f t="shared" si="7"/>
        <v>0</v>
      </c>
    </row>
    <row r="248" spans="1:6" ht="21.75" customHeight="1">
      <c r="A248" s="845" t="s">
        <v>1267</v>
      </c>
      <c r="B248" s="740" t="s">
        <v>1426</v>
      </c>
      <c r="C248" s="857" t="s">
        <v>42</v>
      </c>
      <c r="D248" s="840">
        <v>5</v>
      </c>
      <c r="E248" s="846"/>
      <c r="F248" s="841">
        <f t="shared" si="7"/>
        <v>0</v>
      </c>
    </row>
    <row r="249" spans="1:6" ht="18" customHeight="1">
      <c r="A249" s="845" t="s">
        <v>1267</v>
      </c>
      <c r="B249" s="740" t="s">
        <v>1427</v>
      </c>
      <c r="C249" s="857" t="s">
        <v>42</v>
      </c>
      <c r="D249" s="840">
        <v>1</v>
      </c>
      <c r="E249" s="846"/>
      <c r="F249" s="841">
        <f t="shared" si="7"/>
        <v>0</v>
      </c>
    </row>
    <row r="250" spans="1:6" ht="20.25" customHeight="1">
      <c r="A250" s="845" t="s">
        <v>1267</v>
      </c>
      <c r="B250" s="740" t="s">
        <v>1428</v>
      </c>
      <c r="C250" s="840" t="s">
        <v>42</v>
      </c>
      <c r="D250" s="840">
        <v>13</v>
      </c>
      <c r="E250" s="846"/>
      <c r="F250" s="841">
        <f t="shared" si="7"/>
        <v>0</v>
      </c>
    </row>
    <row r="251" spans="1:6" ht="15.75" customHeight="1">
      <c r="A251" s="845" t="s">
        <v>1267</v>
      </c>
      <c r="B251" s="740" t="s">
        <v>1429</v>
      </c>
      <c r="C251" s="857" t="s">
        <v>42</v>
      </c>
      <c r="D251" s="840">
        <v>2</v>
      </c>
      <c r="E251" s="846"/>
      <c r="F251" s="841">
        <f t="shared" si="7"/>
        <v>0</v>
      </c>
    </row>
    <row r="252" spans="1:6">
      <c r="A252" s="845"/>
      <c r="B252" s="760"/>
      <c r="C252" s="854"/>
      <c r="D252" s="854"/>
      <c r="E252" s="873"/>
      <c r="F252" s="874"/>
    </row>
    <row r="253" spans="1:6" ht="15" customHeight="1">
      <c r="A253" s="845" t="s">
        <v>1267</v>
      </c>
      <c r="B253" s="741" t="s">
        <v>1361</v>
      </c>
      <c r="C253" s="840" t="s">
        <v>42</v>
      </c>
      <c r="D253" s="840">
        <v>38</v>
      </c>
      <c r="E253" s="846"/>
      <c r="F253" s="841">
        <f t="shared" ref="F253:F264" si="8">D253*E253</f>
        <v>0</v>
      </c>
    </row>
    <row r="254" spans="1:6" ht="15.75" customHeight="1">
      <c r="A254" s="845" t="s">
        <v>1267</v>
      </c>
      <c r="B254" s="741" t="s">
        <v>1362</v>
      </c>
      <c r="C254" s="857" t="s">
        <v>42</v>
      </c>
      <c r="D254" s="840">
        <v>38</v>
      </c>
      <c r="E254" s="872"/>
      <c r="F254" s="841">
        <f t="shared" si="8"/>
        <v>0</v>
      </c>
    </row>
    <row r="255" spans="1:6" ht="15.75" customHeight="1">
      <c r="A255" s="845" t="s">
        <v>1267</v>
      </c>
      <c r="B255" s="741" t="s">
        <v>1363</v>
      </c>
      <c r="C255" s="857" t="s">
        <v>42</v>
      </c>
      <c r="D255" s="840">
        <v>38</v>
      </c>
      <c r="E255" s="872"/>
      <c r="F255" s="841">
        <f t="shared" si="8"/>
        <v>0</v>
      </c>
    </row>
    <row r="256" spans="1:6" ht="21" customHeight="1">
      <c r="A256" s="845" t="s">
        <v>1267</v>
      </c>
      <c r="B256" s="741" t="s">
        <v>1430</v>
      </c>
      <c r="C256" s="840" t="s">
        <v>42</v>
      </c>
      <c r="D256" s="840">
        <v>1</v>
      </c>
      <c r="E256" s="846"/>
      <c r="F256" s="841">
        <f t="shared" si="8"/>
        <v>0</v>
      </c>
    </row>
    <row r="257" spans="1:6" ht="22.5" customHeight="1">
      <c r="A257" s="845" t="s">
        <v>1267</v>
      </c>
      <c r="B257" s="741" t="s">
        <v>1431</v>
      </c>
      <c r="C257" s="857" t="s">
        <v>42</v>
      </c>
      <c r="D257" s="857">
        <v>1</v>
      </c>
      <c r="E257" s="872"/>
      <c r="F257" s="841">
        <f t="shared" si="8"/>
        <v>0</v>
      </c>
    </row>
    <row r="258" spans="1:6" ht="19.5" customHeight="1">
      <c r="A258" s="845" t="s">
        <v>1267</v>
      </c>
      <c r="B258" s="741" t="s">
        <v>1432</v>
      </c>
      <c r="C258" s="857" t="s">
        <v>42</v>
      </c>
      <c r="D258" s="857">
        <v>1</v>
      </c>
      <c r="E258" s="872"/>
      <c r="F258" s="841">
        <f t="shared" si="8"/>
        <v>0</v>
      </c>
    </row>
    <row r="259" spans="1:6" ht="13.5" customHeight="1">
      <c r="A259" s="845" t="s">
        <v>1267</v>
      </c>
      <c r="B259" s="744" t="s">
        <v>1433</v>
      </c>
      <c r="C259" s="857" t="s">
        <v>42</v>
      </c>
      <c r="D259" s="857">
        <v>2</v>
      </c>
      <c r="E259" s="872"/>
      <c r="F259" s="841">
        <f t="shared" si="8"/>
        <v>0</v>
      </c>
    </row>
    <row r="260" spans="1:6" ht="15.75" customHeight="1">
      <c r="A260" s="845" t="s">
        <v>1267</v>
      </c>
      <c r="B260" s="744" t="s">
        <v>1434</v>
      </c>
      <c r="C260" s="857" t="s">
        <v>42</v>
      </c>
      <c r="D260" s="857">
        <v>2</v>
      </c>
      <c r="E260" s="872"/>
      <c r="F260" s="841">
        <f t="shared" si="8"/>
        <v>0</v>
      </c>
    </row>
    <row r="261" spans="1:6" ht="18" customHeight="1">
      <c r="A261" s="845" t="s">
        <v>1267</v>
      </c>
      <c r="B261" s="744" t="s">
        <v>1435</v>
      </c>
      <c r="C261" s="857" t="s">
        <v>42</v>
      </c>
      <c r="D261" s="857">
        <v>2</v>
      </c>
      <c r="E261" s="872"/>
      <c r="F261" s="841">
        <f t="shared" si="8"/>
        <v>0</v>
      </c>
    </row>
    <row r="262" spans="1:6" ht="18.75" customHeight="1">
      <c r="A262" s="845" t="s">
        <v>1267</v>
      </c>
      <c r="B262" s="740" t="s">
        <v>1436</v>
      </c>
      <c r="C262" s="857" t="s">
        <v>42</v>
      </c>
      <c r="D262" s="857">
        <v>1</v>
      </c>
      <c r="E262" s="872"/>
      <c r="F262" s="841">
        <f t="shared" si="8"/>
        <v>0</v>
      </c>
    </row>
    <row r="263" spans="1:6" ht="18.75" customHeight="1">
      <c r="A263" s="845" t="s">
        <v>1267</v>
      </c>
      <c r="B263" s="740" t="s">
        <v>1437</v>
      </c>
      <c r="C263" s="857" t="s">
        <v>42</v>
      </c>
      <c r="D263" s="857">
        <v>1</v>
      </c>
      <c r="E263" s="872"/>
      <c r="F263" s="841">
        <f t="shared" si="8"/>
        <v>0</v>
      </c>
    </row>
    <row r="264" spans="1:6" ht="15" customHeight="1">
      <c r="A264" s="845" t="s">
        <v>1267</v>
      </c>
      <c r="B264" s="740" t="s">
        <v>1438</v>
      </c>
      <c r="C264" s="857" t="s">
        <v>42</v>
      </c>
      <c r="D264" s="857">
        <v>1</v>
      </c>
      <c r="E264" s="872"/>
      <c r="F264" s="841">
        <f t="shared" si="8"/>
        <v>0</v>
      </c>
    </row>
    <row r="265" spans="1:6">
      <c r="A265" s="845"/>
      <c r="B265" s="760"/>
      <c r="C265" s="843"/>
      <c r="D265" s="843"/>
      <c r="E265" s="848"/>
      <c r="F265" s="785"/>
    </row>
    <row r="266" spans="1:6" ht="72" customHeight="1">
      <c r="A266" s="761" t="s">
        <v>275</v>
      </c>
      <c r="B266" s="741" t="s">
        <v>1439</v>
      </c>
      <c r="C266" s="840" t="s">
        <v>42</v>
      </c>
      <c r="D266" s="840">
        <v>6</v>
      </c>
      <c r="E266" s="846"/>
      <c r="F266" s="841">
        <f>D266*E266</f>
        <v>0</v>
      </c>
    </row>
    <row r="267" spans="1:6">
      <c r="A267" s="761"/>
      <c r="B267" s="741"/>
      <c r="C267" s="843"/>
      <c r="D267" s="843"/>
      <c r="E267" s="848"/>
      <c r="F267" s="785"/>
    </row>
    <row r="268" spans="1:6" ht="114" customHeight="1">
      <c r="A268" s="761" t="s">
        <v>276</v>
      </c>
      <c r="B268" s="741" t="s">
        <v>1440</v>
      </c>
      <c r="C268" s="840" t="s">
        <v>42</v>
      </c>
      <c r="D268" s="840">
        <v>15</v>
      </c>
      <c r="E268" s="846"/>
      <c r="F268" s="841">
        <f>D268*E268</f>
        <v>0</v>
      </c>
    </row>
    <row r="269" spans="1:6">
      <c r="A269" s="761"/>
      <c r="B269" s="741"/>
      <c r="C269" s="843"/>
      <c r="D269" s="843"/>
      <c r="E269" s="848"/>
      <c r="F269" s="785"/>
    </row>
    <row r="270" spans="1:6" ht="55.5" customHeight="1">
      <c r="A270" s="761" t="s">
        <v>277</v>
      </c>
      <c r="B270" s="741" t="s">
        <v>1441</v>
      </c>
      <c r="C270" s="840" t="s">
        <v>42</v>
      </c>
      <c r="D270" s="840">
        <v>13</v>
      </c>
      <c r="E270" s="846"/>
      <c r="F270" s="841">
        <f>D270*E270</f>
        <v>0</v>
      </c>
    </row>
    <row r="271" spans="1:6">
      <c r="A271" s="761"/>
      <c r="B271" s="741"/>
      <c r="C271" s="843"/>
      <c r="D271" s="843"/>
      <c r="E271" s="848"/>
      <c r="F271" s="785"/>
    </row>
    <row r="272" spans="1:6" ht="51" customHeight="1">
      <c r="A272" s="761" t="s">
        <v>278</v>
      </c>
      <c r="B272" s="741" t="s">
        <v>1442</v>
      </c>
      <c r="C272" s="840" t="s">
        <v>42</v>
      </c>
      <c r="D272" s="840">
        <v>1</v>
      </c>
      <c r="E272" s="846"/>
      <c r="F272" s="841">
        <f>D272*E272</f>
        <v>0</v>
      </c>
    </row>
    <row r="273" spans="1:6">
      <c r="A273" s="761"/>
      <c r="B273" s="741"/>
      <c r="C273" s="843"/>
      <c r="D273" s="843"/>
      <c r="E273" s="848"/>
      <c r="F273" s="849"/>
    </row>
    <row r="274" spans="1:6">
      <c r="A274" s="761"/>
      <c r="B274" s="762" t="s">
        <v>1443</v>
      </c>
      <c r="C274" s="843"/>
      <c r="D274" s="843"/>
      <c r="E274" s="848"/>
      <c r="F274" s="785"/>
    </row>
    <row r="275" spans="1:6">
      <c r="A275" s="761"/>
      <c r="B275" s="759"/>
      <c r="C275" s="843"/>
      <c r="D275" s="843"/>
      <c r="E275" s="848"/>
      <c r="F275" s="785"/>
    </row>
    <row r="276" spans="1:6" ht="41.25" customHeight="1">
      <c r="A276" s="761" t="s">
        <v>279</v>
      </c>
      <c r="B276" s="759" t="s">
        <v>1444</v>
      </c>
      <c r="C276" s="840" t="s">
        <v>1278</v>
      </c>
      <c r="D276" s="840">
        <v>17</v>
      </c>
      <c r="E276" s="846"/>
      <c r="F276" s="841">
        <f>D276*E276</f>
        <v>0</v>
      </c>
    </row>
    <row r="277" spans="1:6">
      <c r="A277" s="761"/>
      <c r="B277" s="759"/>
      <c r="C277" s="854"/>
      <c r="D277" s="854"/>
      <c r="E277" s="873"/>
      <c r="F277" s="874"/>
    </row>
    <row r="278" spans="1:6" ht="29.25" customHeight="1">
      <c r="A278" s="761" t="s">
        <v>280</v>
      </c>
      <c r="B278" s="759" t="s">
        <v>1445</v>
      </c>
      <c r="C278" s="840" t="s">
        <v>42</v>
      </c>
      <c r="D278" s="840">
        <v>11</v>
      </c>
      <c r="E278" s="846"/>
      <c r="F278" s="841">
        <f>D278*E278</f>
        <v>0</v>
      </c>
    </row>
    <row r="279" spans="1:6">
      <c r="A279" s="875"/>
      <c r="B279" s="759"/>
      <c r="C279" s="843"/>
      <c r="D279" s="843"/>
      <c r="E279" s="848"/>
      <c r="F279" s="849"/>
    </row>
    <row r="280" spans="1:6" ht="39.75" customHeight="1">
      <c r="A280" s="875" t="s">
        <v>1383</v>
      </c>
      <c r="B280" s="759" t="s">
        <v>1446</v>
      </c>
      <c r="C280" s="840" t="s">
        <v>42</v>
      </c>
      <c r="D280" s="840">
        <v>7</v>
      </c>
      <c r="E280" s="846"/>
      <c r="F280" s="841">
        <f>D280*E280</f>
        <v>0</v>
      </c>
    </row>
    <row r="281" spans="1:6">
      <c r="A281" s="875"/>
      <c r="B281" s="759"/>
      <c r="C281" s="843"/>
      <c r="D281" s="843"/>
      <c r="E281" s="848"/>
      <c r="F281" s="849"/>
    </row>
    <row r="282" spans="1:6" ht="53.25" customHeight="1">
      <c r="A282" s="875" t="s">
        <v>1385</v>
      </c>
      <c r="B282" s="740" t="s">
        <v>1447</v>
      </c>
      <c r="C282" s="840" t="s">
        <v>42</v>
      </c>
      <c r="D282" s="840">
        <v>58</v>
      </c>
      <c r="E282" s="846"/>
      <c r="F282" s="841">
        <f>D282*E282</f>
        <v>0</v>
      </c>
    </row>
    <row r="283" spans="1:6">
      <c r="A283" s="875"/>
      <c r="B283" s="740"/>
      <c r="C283" s="854"/>
      <c r="D283" s="854"/>
      <c r="E283" s="873"/>
      <c r="F283" s="876"/>
    </row>
    <row r="284" spans="1:6" ht="51" customHeight="1">
      <c r="A284" s="875" t="s">
        <v>1387</v>
      </c>
      <c r="B284" s="751" t="s">
        <v>1448</v>
      </c>
      <c r="C284" s="840" t="s">
        <v>42</v>
      </c>
      <c r="D284" s="840">
        <v>36</v>
      </c>
      <c r="E284" s="846"/>
      <c r="F284" s="841">
        <f>D284*E284</f>
        <v>0</v>
      </c>
    </row>
    <row r="285" spans="1:6">
      <c r="A285" s="875"/>
      <c r="B285" s="751"/>
      <c r="C285" s="843"/>
      <c r="D285" s="843"/>
      <c r="E285" s="848"/>
      <c r="F285" s="849"/>
    </row>
    <row r="286" spans="1:6" ht="38.25" customHeight="1">
      <c r="A286" s="875" t="s">
        <v>1389</v>
      </c>
      <c r="B286" s="751" t="s">
        <v>1449</v>
      </c>
      <c r="C286" s="840" t="s">
        <v>42</v>
      </c>
      <c r="D286" s="840">
        <v>23</v>
      </c>
      <c r="E286" s="846"/>
      <c r="F286" s="841">
        <f>D286*E286</f>
        <v>0</v>
      </c>
    </row>
    <row r="287" spans="1:6">
      <c r="A287" s="875"/>
      <c r="B287" s="751"/>
      <c r="C287" s="843"/>
      <c r="D287" s="843"/>
      <c r="E287" s="848"/>
      <c r="F287" s="849"/>
    </row>
    <row r="288" spans="1:6" ht="43.5" customHeight="1">
      <c r="A288" s="875" t="s">
        <v>1391</v>
      </c>
      <c r="B288" s="751" t="s">
        <v>1450</v>
      </c>
      <c r="C288" s="840" t="s">
        <v>42</v>
      </c>
      <c r="D288" s="840">
        <v>6</v>
      </c>
      <c r="E288" s="846"/>
      <c r="F288" s="841">
        <f>D288*E288</f>
        <v>0</v>
      </c>
    </row>
    <row r="289" spans="1:6">
      <c r="A289" s="875"/>
      <c r="B289" s="751"/>
      <c r="C289" s="843"/>
      <c r="D289" s="843"/>
      <c r="E289" s="848"/>
      <c r="F289" s="849"/>
    </row>
    <row r="290" spans="1:6" ht="42.75" customHeight="1">
      <c r="A290" s="875" t="s">
        <v>1393</v>
      </c>
      <c r="B290" s="740" t="s">
        <v>1451</v>
      </c>
      <c r="C290" s="840" t="s">
        <v>42</v>
      </c>
      <c r="D290" s="840">
        <v>45</v>
      </c>
      <c r="E290" s="877"/>
      <c r="F290" s="841">
        <f>D290*E290</f>
        <v>0</v>
      </c>
    </row>
    <row r="291" spans="1:6">
      <c r="A291" s="875"/>
      <c r="B291" s="740"/>
      <c r="C291" s="843"/>
      <c r="D291" s="843"/>
      <c r="E291" s="863"/>
      <c r="F291" s="813"/>
    </row>
    <row r="292" spans="1:6" ht="39.75" customHeight="1">
      <c r="A292" s="875" t="s">
        <v>1395</v>
      </c>
      <c r="B292" s="740" t="s">
        <v>1452</v>
      </c>
      <c r="C292" s="840" t="s">
        <v>42</v>
      </c>
      <c r="D292" s="840">
        <v>1</v>
      </c>
      <c r="E292" s="877"/>
      <c r="F292" s="841">
        <f>D292*E292</f>
        <v>0</v>
      </c>
    </row>
    <row r="293" spans="1:6">
      <c r="A293" s="875"/>
      <c r="B293" s="740"/>
      <c r="C293" s="843"/>
      <c r="D293" s="843"/>
      <c r="E293" s="863"/>
      <c r="F293" s="813"/>
    </row>
    <row r="294" spans="1:6" ht="29.25" customHeight="1">
      <c r="A294" s="875" t="s">
        <v>1397</v>
      </c>
      <c r="B294" s="740" t="s">
        <v>1453</v>
      </c>
      <c r="C294" s="840" t="s">
        <v>42</v>
      </c>
      <c r="D294" s="840">
        <v>1</v>
      </c>
      <c r="E294" s="877"/>
      <c r="F294" s="841">
        <f>D294*E294</f>
        <v>0</v>
      </c>
    </row>
    <row r="295" spans="1:6">
      <c r="A295" s="875"/>
      <c r="B295" s="740"/>
      <c r="C295" s="843"/>
      <c r="D295" s="843"/>
      <c r="E295" s="863"/>
      <c r="F295" s="813"/>
    </row>
    <row r="296" spans="1:6" ht="24.75" customHeight="1">
      <c r="A296" s="875" t="s">
        <v>1399</v>
      </c>
      <c r="B296" s="751" t="s">
        <v>1400</v>
      </c>
      <c r="C296" s="840" t="s">
        <v>1276</v>
      </c>
      <c r="D296" s="840">
        <v>1</v>
      </c>
      <c r="E296" s="877"/>
      <c r="F296" s="841">
        <f>D296*E296</f>
        <v>0</v>
      </c>
    </row>
    <row r="297" spans="1:6">
      <c r="A297" s="878"/>
      <c r="B297" s="739"/>
      <c r="C297" s="879"/>
      <c r="D297" s="879"/>
      <c r="E297" s="205"/>
      <c r="F297" s="205"/>
    </row>
    <row r="298" spans="1:6" ht="39.75" customHeight="1">
      <c r="A298" s="880" t="s">
        <v>1454</v>
      </c>
      <c r="B298" s="740" t="s">
        <v>1455</v>
      </c>
      <c r="C298" s="840" t="s">
        <v>1276</v>
      </c>
      <c r="D298" s="840">
        <v>1</v>
      </c>
      <c r="E298" s="877"/>
      <c r="F298" s="841">
        <f>D298*E298</f>
        <v>0</v>
      </c>
    </row>
    <row r="299" spans="1:6">
      <c r="A299" s="847"/>
      <c r="B299" s="741"/>
      <c r="C299" s="843"/>
      <c r="D299" s="843"/>
      <c r="E299" s="848"/>
      <c r="F299" s="849"/>
    </row>
    <row r="300" spans="1:6" ht="25.5">
      <c r="A300" s="881"/>
      <c r="B300" s="763" t="s">
        <v>1456</v>
      </c>
      <c r="C300" s="882"/>
      <c r="D300" s="882"/>
      <c r="E300" s="883" t="s">
        <v>15</v>
      </c>
      <c r="F300" s="884">
        <f>SUM(F211:F298)</f>
        <v>0</v>
      </c>
    </row>
    <row r="301" spans="1:6" ht="18.75" customHeight="1">
      <c r="A301" s="776" t="s">
        <v>1457</v>
      </c>
      <c r="B301" s="885" t="s">
        <v>1458</v>
      </c>
      <c r="C301" s="870"/>
      <c r="D301" s="870"/>
      <c r="E301" s="886"/>
      <c r="F301" s="887"/>
    </row>
    <row r="302" spans="1:6">
      <c r="A302" s="845"/>
      <c r="B302" s="740"/>
      <c r="C302" s="843"/>
      <c r="D302" s="843"/>
      <c r="E302" s="848"/>
      <c r="F302" s="849"/>
    </row>
    <row r="303" spans="1:6" ht="44.25" customHeight="1">
      <c r="A303" s="838" t="s">
        <v>261</v>
      </c>
      <c r="B303" s="740" t="s">
        <v>1459</v>
      </c>
      <c r="C303" s="842"/>
      <c r="D303" s="843"/>
      <c r="E303" s="844"/>
      <c r="F303" s="844"/>
    </row>
    <row r="304" spans="1:6">
      <c r="A304" s="782" t="s">
        <v>1267</v>
      </c>
      <c r="B304" s="758" t="s">
        <v>1405</v>
      </c>
      <c r="C304" s="840" t="s">
        <v>926</v>
      </c>
      <c r="D304" s="792">
        <v>300</v>
      </c>
      <c r="E304" s="793"/>
      <c r="F304" s="841">
        <f>D304*E304</f>
        <v>0</v>
      </c>
    </row>
    <row r="305" spans="1:6">
      <c r="A305" s="838"/>
      <c r="B305" s="740"/>
      <c r="C305" s="842"/>
      <c r="D305" s="843"/>
      <c r="E305" s="844"/>
      <c r="F305" s="844"/>
    </row>
    <row r="306" spans="1:6" ht="59.25" customHeight="1">
      <c r="A306" s="838" t="s">
        <v>262</v>
      </c>
      <c r="B306" s="749" t="s">
        <v>1460</v>
      </c>
      <c r="C306" s="839" t="s">
        <v>1278</v>
      </c>
      <c r="D306" s="840">
        <v>2</v>
      </c>
      <c r="E306" s="841"/>
      <c r="F306" s="841">
        <f>D306*E306</f>
        <v>0</v>
      </c>
    </row>
    <row r="307" spans="1:6">
      <c r="A307" s="838"/>
      <c r="B307" s="749"/>
      <c r="C307" s="842"/>
      <c r="D307" s="843"/>
      <c r="E307" s="844"/>
      <c r="F307" s="844"/>
    </row>
    <row r="308" spans="1:6" ht="36.75" customHeight="1">
      <c r="A308" s="847" t="s">
        <v>263</v>
      </c>
      <c r="B308" s="741" t="s">
        <v>1461</v>
      </c>
      <c r="C308" s="843"/>
      <c r="D308" s="843"/>
      <c r="E308" s="848"/>
      <c r="F308" s="849"/>
    </row>
    <row r="309" spans="1:6">
      <c r="A309" s="845" t="s">
        <v>1267</v>
      </c>
      <c r="B309" s="737" t="s">
        <v>1462</v>
      </c>
      <c r="C309" s="840" t="s">
        <v>926</v>
      </c>
      <c r="D309" s="792">
        <v>760</v>
      </c>
      <c r="E309" s="877"/>
      <c r="F309" s="841">
        <f>D309*E309</f>
        <v>0</v>
      </c>
    </row>
    <row r="310" spans="1:6">
      <c r="A310" s="847"/>
      <c r="B310" s="740"/>
      <c r="C310" s="843"/>
      <c r="D310" s="843"/>
      <c r="E310" s="848"/>
      <c r="F310" s="849"/>
    </row>
    <row r="311" spans="1:6" ht="40.5" customHeight="1">
      <c r="A311" s="847" t="s">
        <v>264</v>
      </c>
      <c r="B311" s="740" t="s">
        <v>1463</v>
      </c>
      <c r="C311" s="843"/>
      <c r="D311" s="843"/>
      <c r="E311" s="848"/>
      <c r="F311" s="849"/>
    </row>
    <row r="312" spans="1:6" ht="14.25" customHeight="1">
      <c r="A312" s="845" t="s">
        <v>1267</v>
      </c>
      <c r="B312" s="737" t="s">
        <v>1464</v>
      </c>
      <c r="C312" s="840" t="s">
        <v>926</v>
      </c>
      <c r="D312" s="840">
        <v>1600</v>
      </c>
      <c r="E312" s="877"/>
      <c r="F312" s="841">
        <f t="shared" ref="F312:F315" si="9">D312*E312</f>
        <v>0</v>
      </c>
    </row>
    <row r="313" spans="1:6" ht="15.75" customHeight="1">
      <c r="A313" s="845" t="s">
        <v>1267</v>
      </c>
      <c r="B313" s="737" t="s">
        <v>1465</v>
      </c>
      <c r="C313" s="840" t="s">
        <v>926</v>
      </c>
      <c r="D313" s="840">
        <v>15</v>
      </c>
      <c r="E313" s="877"/>
      <c r="F313" s="841">
        <f t="shared" si="9"/>
        <v>0</v>
      </c>
    </row>
    <row r="314" spans="1:6" ht="16.5" customHeight="1">
      <c r="A314" s="845" t="s">
        <v>1267</v>
      </c>
      <c r="B314" s="737" t="s">
        <v>1466</v>
      </c>
      <c r="C314" s="857" t="s">
        <v>926</v>
      </c>
      <c r="D314" s="857">
        <v>15</v>
      </c>
      <c r="E314" s="888"/>
      <c r="F314" s="841">
        <f t="shared" si="9"/>
        <v>0</v>
      </c>
    </row>
    <row r="315" spans="1:6" ht="13.5" customHeight="1">
      <c r="A315" s="845" t="s">
        <v>1267</v>
      </c>
      <c r="B315" s="737" t="s">
        <v>1467</v>
      </c>
      <c r="C315" s="857" t="s">
        <v>926</v>
      </c>
      <c r="D315" s="857">
        <v>100</v>
      </c>
      <c r="E315" s="888"/>
      <c r="F315" s="841">
        <f t="shared" si="9"/>
        <v>0</v>
      </c>
    </row>
    <row r="316" spans="1:6">
      <c r="A316" s="845"/>
      <c r="B316" s="737"/>
      <c r="C316" s="843"/>
      <c r="D316" s="843"/>
      <c r="E316" s="863"/>
      <c r="F316" s="863"/>
    </row>
    <row r="317" spans="1:6" ht="29.25" customHeight="1">
      <c r="A317" s="847" t="s">
        <v>265</v>
      </c>
      <c r="B317" s="741" t="s">
        <v>1468</v>
      </c>
      <c r="C317" s="766"/>
      <c r="D317" s="766"/>
      <c r="E317" s="766"/>
      <c r="F317" s="766"/>
    </row>
    <row r="318" spans="1:6" ht="15.75" customHeight="1">
      <c r="A318" s="847" t="s">
        <v>1267</v>
      </c>
      <c r="B318" s="740" t="s">
        <v>1469</v>
      </c>
      <c r="C318" s="840" t="s">
        <v>42</v>
      </c>
      <c r="D318" s="840">
        <v>60</v>
      </c>
      <c r="E318" s="846"/>
      <c r="F318" s="841">
        <f>D318*E318</f>
        <v>0</v>
      </c>
    </row>
    <row r="319" spans="1:6" ht="40.5" customHeight="1">
      <c r="A319" s="847"/>
      <c r="B319" s="740" t="s">
        <v>1470</v>
      </c>
      <c r="C319" s="854"/>
      <c r="D319" s="854"/>
      <c r="E319" s="873"/>
      <c r="F319" s="876"/>
    </row>
    <row r="320" spans="1:6" ht="12.75" customHeight="1">
      <c r="A320" s="845" t="s">
        <v>1267</v>
      </c>
      <c r="B320" s="741" t="s">
        <v>1361</v>
      </c>
      <c r="C320" s="843" t="s">
        <v>42</v>
      </c>
      <c r="D320" s="840">
        <v>11</v>
      </c>
      <c r="E320" s="889"/>
      <c r="F320" s="841">
        <f t="shared" ref="F320:F325" si="10">D320*E320</f>
        <v>0</v>
      </c>
    </row>
    <row r="321" spans="1:6" ht="15.75" customHeight="1">
      <c r="A321" s="845" t="s">
        <v>1267</v>
      </c>
      <c r="B321" s="741" t="s">
        <v>1362</v>
      </c>
      <c r="C321" s="857" t="s">
        <v>42</v>
      </c>
      <c r="D321" s="840">
        <v>11</v>
      </c>
      <c r="E321" s="889"/>
      <c r="F321" s="841">
        <f t="shared" si="10"/>
        <v>0</v>
      </c>
    </row>
    <row r="322" spans="1:6" ht="18.75" customHeight="1">
      <c r="A322" s="845" t="s">
        <v>1267</v>
      </c>
      <c r="B322" s="741" t="s">
        <v>1363</v>
      </c>
      <c r="C322" s="857" t="s">
        <v>42</v>
      </c>
      <c r="D322" s="840">
        <v>11</v>
      </c>
      <c r="E322" s="889"/>
      <c r="F322" s="841">
        <f t="shared" si="10"/>
        <v>0</v>
      </c>
    </row>
    <row r="323" spans="1:6" ht="13.5" customHeight="1">
      <c r="A323" s="845" t="s">
        <v>1267</v>
      </c>
      <c r="B323" s="741" t="s">
        <v>1471</v>
      </c>
      <c r="C323" s="857" t="s">
        <v>42</v>
      </c>
      <c r="D323" s="840">
        <v>5</v>
      </c>
      <c r="E323" s="889"/>
      <c r="F323" s="841">
        <f t="shared" si="10"/>
        <v>0</v>
      </c>
    </row>
    <row r="324" spans="1:6" ht="15" customHeight="1">
      <c r="A324" s="845" t="s">
        <v>1267</v>
      </c>
      <c r="B324" s="741" t="s">
        <v>1472</v>
      </c>
      <c r="C324" s="857" t="s">
        <v>42</v>
      </c>
      <c r="D324" s="840">
        <v>5</v>
      </c>
      <c r="E324" s="872"/>
      <c r="F324" s="841">
        <f t="shared" si="10"/>
        <v>0</v>
      </c>
    </row>
    <row r="325" spans="1:6" ht="17.25" customHeight="1">
      <c r="A325" s="845" t="s">
        <v>1267</v>
      </c>
      <c r="B325" s="741" t="s">
        <v>1372</v>
      </c>
      <c r="C325" s="857" t="s">
        <v>42</v>
      </c>
      <c r="D325" s="840">
        <v>5</v>
      </c>
      <c r="E325" s="872"/>
      <c r="F325" s="841">
        <f t="shared" si="10"/>
        <v>0</v>
      </c>
    </row>
    <row r="326" spans="1:6">
      <c r="A326" s="845"/>
      <c r="B326" s="737"/>
      <c r="C326" s="843"/>
      <c r="D326" s="843"/>
      <c r="E326" s="863"/>
      <c r="F326" s="863"/>
    </row>
    <row r="327" spans="1:6" ht="22.5" customHeight="1">
      <c r="A327" s="845" t="s">
        <v>266</v>
      </c>
      <c r="B327" s="737" t="s">
        <v>1473</v>
      </c>
      <c r="C327" s="843"/>
      <c r="D327" s="843"/>
      <c r="E327" s="863"/>
      <c r="F327" s="863"/>
    </row>
    <row r="328" spans="1:6" ht="21.75" customHeight="1">
      <c r="A328" s="845" t="s">
        <v>1267</v>
      </c>
      <c r="B328" s="737" t="s">
        <v>1474</v>
      </c>
      <c r="C328" s="840" t="s">
        <v>42</v>
      </c>
      <c r="D328" s="840">
        <v>2</v>
      </c>
      <c r="E328" s="877"/>
      <c r="F328" s="841">
        <f>D328*E328</f>
        <v>0</v>
      </c>
    </row>
    <row r="329" spans="1:6">
      <c r="A329" s="845"/>
      <c r="B329" s="737"/>
      <c r="C329" s="843"/>
      <c r="D329" s="843"/>
      <c r="E329" s="863"/>
      <c r="F329" s="863"/>
    </row>
    <row r="330" spans="1:6" ht="31.5" customHeight="1">
      <c r="A330" s="845" t="s">
        <v>267</v>
      </c>
      <c r="B330" s="737" t="s">
        <v>1475</v>
      </c>
      <c r="C330" s="843"/>
      <c r="D330" s="843"/>
      <c r="E330" s="863"/>
      <c r="F330" s="863"/>
    </row>
    <row r="331" spans="1:6" ht="24" customHeight="1">
      <c r="A331" s="845" t="s">
        <v>1267</v>
      </c>
      <c r="B331" s="737" t="s">
        <v>1476</v>
      </c>
      <c r="C331" s="840" t="s">
        <v>42</v>
      </c>
      <c r="D331" s="840">
        <v>2</v>
      </c>
      <c r="E331" s="877"/>
      <c r="F331" s="841">
        <f>D331*E331</f>
        <v>0</v>
      </c>
    </row>
    <row r="332" spans="1:6">
      <c r="A332" s="845"/>
      <c r="B332" s="737"/>
      <c r="C332" s="843"/>
      <c r="D332" s="843"/>
      <c r="E332" s="863"/>
      <c r="F332" s="863"/>
    </row>
    <row r="333" spans="1:6" ht="38.25" customHeight="1">
      <c r="A333" s="847" t="s">
        <v>268</v>
      </c>
      <c r="B333" s="740" t="s">
        <v>1477</v>
      </c>
      <c r="C333" s="840" t="s">
        <v>42</v>
      </c>
      <c r="D333" s="840">
        <v>1</v>
      </c>
      <c r="E333" s="846"/>
      <c r="F333" s="841">
        <f>D333*E333</f>
        <v>0</v>
      </c>
    </row>
    <row r="334" spans="1:6">
      <c r="A334" s="845"/>
      <c r="B334" s="737"/>
      <c r="C334" s="843"/>
      <c r="D334" s="843"/>
      <c r="E334" s="863"/>
      <c r="F334" s="863"/>
    </row>
    <row r="335" spans="1:6" ht="40.5" customHeight="1">
      <c r="A335" s="845" t="s">
        <v>269</v>
      </c>
      <c r="B335" s="740" t="s">
        <v>1478</v>
      </c>
      <c r="C335" s="840" t="s">
        <v>42</v>
      </c>
      <c r="D335" s="840">
        <v>1</v>
      </c>
      <c r="E335" s="846"/>
      <c r="F335" s="841">
        <f>D335*E335</f>
        <v>0</v>
      </c>
    </row>
    <row r="336" spans="1:6">
      <c r="A336" s="845"/>
      <c r="B336" s="740"/>
      <c r="C336" s="854"/>
      <c r="D336" s="854"/>
      <c r="E336" s="873"/>
      <c r="F336" s="873"/>
    </row>
    <row r="337" spans="1:6" ht="38.25" customHeight="1">
      <c r="A337" s="782" t="s">
        <v>270</v>
      </c>
      <c r="B337" s="741" t="s">
        <v>1479</v>
      </c>
      <c r="C337" s="792" t="s">
        <v>42</v>
      </c>
      <c r="D337" s="792">
        <v>3</v>
      </c>
      <c r="E337" s="805"/>
      <c r="F337" s="841">
        <f>D337*E337</f>
        <v>0</v>
      </c>
    </row>
    <row r="338" spans="1:6">
      <c r="A338" s="782"/>
      <c r="B338" s="741"/>
      <c r="C338" s="784"/>
      <c r="D338" s="784"/>
      <c r="E338" s="785"/>
      <c r="F338" s="813"/>
    </row>
    <row r="339" spans="1:6" ht="37.5" customHeight="1">
      <c r="A339" s="847" t="s">
        <v>271</v>
      </c>
      <c r="B339" s="740" t="s">
        <v>1480</v>
      </c>
      <c r="C339" s="840" t="s">
        <v>42</v>
      </c>
      <c r="D339" s="840">
        <v>1</v>
      </c>
      <c r="E339" s="846"/>
      <c r="F339" s="841">
        <f>D339*E339</f>
        <v>0</v>
      </c>
    </row>
    <row r="340" spans="1:6">
      <c r="A340" s="847"/>
      <c r="B340" s="740"/>
      <c r="C340" s="854"/>
      <c r="D340" s="854"/>
      <c r="E340" s="873"/>
      <c r="F340" s="876"/>
    </row>
    <row r="341" spans="1:6" ht="26.25" customHeight="1">
      <c r="A341" s="847" t="s">
        <v>272</v>
      </c>
      <c r="B341" s="740" t="s">
        <v>1481</v>
      </c>
      <c r="C341" s="840" t="s">
        <v>42</v>
      </c>
      <c r="D341" s="840">
        <v>1</v>
      </c>
      <c r="E341" s="846"/>
      <c r="F341" s="841">
        <f>D341*E341</f>
        <v>0</v>
      </c>
    </row>
    <row r="342" spans="1:6">
      <c r="A342" s="847"/>
      <c r="B342" s="740"/>
      <c r="C342" s="843"/>
      <c r="D342" s="843"/>
      <c r="E342" s="848"/>
      <c r="F342" s="849"/>
    </row>
    <row r="343" spans="1:6" ht="25.5" customHeight="1">
      <c r="A343" s="845" t="s">
        <v>273</v>
      </c>
      <c r="B343" s="751" t="s">
        <v>1482</v>
      </c>
      <c r="C343" s="840" t="s">
        <v>1276</v>
      </c>
      <c r="D343" s="840">
        <v>1</v>
      </c>
      <c r="E343" s="793"/>
      <c r="F343" s="841">
        <f>D343*E343</f>
        <v>0</v>
      </c>
    </row>
    <row r="344" spans="1:6">
      <c r="A344" s="845"/>
      <c r="B344" s="751"/>
      <c r="C344" s="843"/>
      <c r="D344" s="843"/>
      <c r="E344" s="789"/>
      <c r="F344" s="789"/>
    </row>
    <row r="345" spans="1:6" ht="25.5" customHeight="1">
      <c r="A345" s="847" t="s">
        <v>274</v>
      </c>
      <c r="B345" s="740" t="s">
        <v>1483</v>
      </c>
      <c r="C345" s="840" t="s">
        <v>1276</v>
      </c>
      <c r="D345" s="840">
        <v>1</v>
      </c>
      <c r="E345" s="846"/>
      <c r="F345" s="841">
        <f>D345*E345</f>
        <v>0</v>
      </c>
    </row>
    <row r="346" spans="1:6">
      <c r="A346" s="847"/>
      <c r="B346" s="740"/>
      <c r="C346" s="843"/>
      <c r="D346" s="843"/>
      <c r="E346" s="848"/>
      <c r="F346" s="849"/>
    </row>
    <row r="347" spans="1:6" ht="35.25" customHeight="1">
      <c r="A347" s="881"/>
      <c r="B347" s="764" t="s">
        <v>1484</v>
      </c>
      <c r="C347" s="890"/>
      <c r="D347" s="890"/>
      <c r="E347" s="891" t="s">
        <v>15</v>
      </c>
      <c r="F347" s="892">
        <f>SUM(F303:F345)</f>
        <v>0</v>
      </c>
    </row>
    <row r="348" spans="1:6" ht="20.25" customHeight="1">
      <c r="A348" s="776" t="s">
        <v>1485</v>
      </c>
      <c r="B348" s="748" t="s">
        <v>1486</v>
      </c>
      <c r="C348" s="893"/>
      <c r="D348" s="893"/>
      <c r="E348" s="894"/>
      <c r="F348" s="894"/>
    </row>
    <row r="349" spans="1:6">
      <c r="A349" s="845"/>
      <c r="B349" s="741"/>
      <c r="C349" s="843"/>
      <c r="D349" s="843"/>
      <c r="E349" s="848"/>
      <c r="F349" s="848"/>
    </row>
    <row r="350" spans="1:6" ht="30" customHeight="1">
      <c r="A350" s="782" t="s">
        <v>261</v>
      </c>
      <c r="B350" s="751" t="s">
        <v>1487</v>
      </c>
      <c r="C350" s="840" t="s">
        <v>926</v>
      </c>
      <c r="D350" s="792">
        <v>380</v>
      </c>
      <c r="E350" s="807"/>
      <c r="F350" s="841">
        <f>D350*E350</f>
        <v>0</v>
      </c>
    </row>
    <row r="351" spans="1:6">
      <c r="A351" s="782"/>
      <c r="B351" s="737"/>
      <c r="C351" s="843"/>
      <c r="D351" s="784"/>
      <c r="E351" s="766"/>
      <c r="F351" s="766"/>
    </row>
    <row r="352" spans="1:6" ht="29.25" customHeight="1">
      <c r="A352" s="847" t="s">
        <v>262</v>
      </c>
      <c r="B352" s="741" t="s">
        <v>1461</v>
      </c>
      <c r="C352" s="843"/>
      <c r="D352" s="843"/>
      <c r="E352" s="848"/>
      <c r="F352" s="849"/>
    </row>
    <row r="353" spans="1:6" ht="25.5" customHeight="1">
      <c r="A353" s="847" t="s">
        <v>1267</v>
      </c>
      <c r="B353" s="740" t="s">
        <v>1488</v>
      </c>
      <c r="C353" s="840" t="s">
        <v>926</v>
      </c>
      <c r="D353" s="840">
        <v>30</v>
      </c>
      <c r="E353" s="846"/>
      <c r="F353" s="841">
        <f t="shared" ref="F353:F354" si="11">D353*E353</f>
        <v>0</v>
      </c>
    </row>
    <row r="354" spans="1:6" ht="16.5" customHeight="1">
      <c r="A354" s="847" t="s">
        <v>1267</v>
      </c>
      <c r="B354" s="740" t="s">
        <v>1489</v>
      </c>
      <c r="C354" s="840" t="s">
        <v>926</v>
      </c>
      <c r="D354" s="840">
        <v>220</v>
      </c>
      <c r="E354" s="846"/>
      <c r="F354" s="841">
        <f t="shared" si="11"/>
        <v>0</v>
      </c>
    </row>
    <row r="355" spans="1:6">
      <c r="A355" s="847"/>
      <c r="B355" s="740"/>
      <c r="C355" s="843"/>
      <c r="D355" s="843"/>
      <c r="E355" s="848"/>
      <c r="F355" s="849"/>
    </row>
    <row r="356" spans="1:6" ht="44.25" customHeight="1">
      <c r="A356" s="782" t="s">
        <v>263</v>
      </c>
      <c r="B356" s="895" t="s">
        <v>1490</v>
      </c>
      <c r="C356" s="784" t="s">
        <v>42</v>
      </c>
      <c r="D356" s="784">
        <v>1</v>
      </c>
      <c r="E356" s="766"/>
      <c r="F356" s="766"/>
    </row>
    <row r="357" spans="1:6" ht="30.75" customHeight="1">
      <c r="A357" s="782" t="s">
        <v>1267</v>
      </c>
      <c r="B357" s="895" t="s">
        <v>1491</v>
      </c>
      <c r="C357" s="795" t="s">
        <v>42</v>
      </c>
      <c r="D357" s="795">
        <v>1</v>
      </c>
      <c r="E357" s="896"/>
      <c r="F357" s="896"/>
    </row>
    <row r="358" spans="1:6" ht="24" customHeight="1">
      <c r="A358" s="782" t="s">
        <v>1267</v>
      </c>
      <c r="B358" s="765" t="s">
        <v>1492</v>
      </c>
      <c r="C358" s="795" t="s">
        <v>42</v>
      </c>
      <c r="D358" s="795">
        <v>1</v>
      </c>
      <c r="E358" s="896"/>
      <c r="F358" s="896"/>
    </row>
    <row r="359" spans="1:6" ht="21" customHeight="1">
      <c r="A359" s="782" t="s">
        <v>1267</v>
      </c>
      <c r="B359" s="765" t="s">
        <v>1493</v>
      </c>
      <c r="C359" s="795" t="s">
        <v>42</v>
      </c>
      <c r="D359" s="795">
        <v>2</v>
      </c>
      <c r="E359" s="896"/>
      <c r="F359" s="896"/>
    </row>
    <row r="360" spans="1:6" ht="31.5" customHeight="1">
      <c r="A360" s="782" t="s">
        <v>1267</v>
      </c>
      <c r="B360" s="766" t="s">
        <v>1494</v>
      </c>
      <c r="C360" s="855" t="s">
        <v>926</v>
      </c>
      <c r="D360" s="855">
        <v>30</v>
      </c>
      <c r="E360" s="897"/>
      <c r="F360" s="897"/>
    </row>
    <row r="361" spans="1:6">
      <c r="A361" s="782"/>
      <c r="B361" s="767"/>
      <c r="C361" s="803" t="s">
        <v>1273</v>
      </c>
      <c r="D361" s="803">
        <v>1</v>
      </c>
      <c r="E361" s="767"/>
      <c r="F361" s="841">
        <f>D361*E361</f>
        <v>0</v>
      </c>
    </row>
    <row r="362" spans="1:6">
      <c r="A362" s="782"/>
      <c r="B362" s="766"/>
      <c r="C362" s="784"/>
      <c r="D362" s="784"/>
      <c r="E362" s="766"/>
      <c r="F362" s="766"/>
    </row>
    <row r="363" spans="1:6" ht="26.25" customHeight="1">
      <c r="A363" s="782" t="s">
        <v>264</v>
      </c>
      <c r="B363" s="737" t="s">
        <v>1495</v>
      </c>
      <c r="C363" s="843"/>
      <c r="D363" s="843"/>
      <c r="E363" s="766"/>
      <c r="F363" s="766"/>
    </row>
    <row r="364" spans="1:6" ht="28.5" customHeight="1">
      <c r="A364" s="782" t="s">
        <v>1267</v>
      </c>
      <c r="B364" s="737" t="s">
        <v>1496</v>
      </c>
      <c r="C364" s="840" t="s">
        <v>42</v>
      </c>
      <c r="D364" s="840">
        <v>7</v>
      </c>
      <c r="E364" s="898"/>
      <c r="F364" s="841">
        <f t="shared" ref="F364:F367" si="12">D364*E364</f>
        <v>0</v>
      </c>
    </row>
    <row r="365" spans="1:6" ht="24" customHeight="1">
      <c r="A365" s="845" t="s">
        <v>1267</v>
      </c>
      <c r="B365" s="741" t="s">
        <v>1361</v>
      </c>
      <c r="C365" s="840" t="s">
        <v>42</v>
      </c>
      <c r="D365" s="840">
        <v>7</v>
      </c>
      <c r="E365" s="846"/>
      <c r="F365" s="841">
        <f t="shared" si="12"/>
        <v>0</v>
      </c>
    </row>
    <row r="366" spans="1:6" ht="24" customHeight="1">
      <c r="A366" s="845" t="s">
        <v>1267</v>
      </c>
      <c r="B366" s="741" t="s">
        <v>1362</v>
      </c>
      <c r="C366" s="857" t="s">
        <v>42</v>
      </c>
      <c r="D366" s="840">
        <v>7</v>
      </c>
      <c r="E366" s="872"/>
      <c r="F366" s="841">
        <f t="shared" si="12"/>
        <v>0</v>
      </c>
    </row>
    <row r="367" spans="1:6" ht="26.25" customHeight="1">
      <c r="A367" s="845" t="s">
        <v>1267</v>
      </c>
      <c r="B367" s="741" t="s">
        <v>1363</v>
      </c>
      <c r="C367" s="857" t="s">
        <v>42</v>
      </c>
      <c r="D367" s="840">
        <v>7</v>
      </c>
      <c r="E367" s="872"/>
      <c r="F367" s="841">
        <f t="shared" si="12"/>
        <v>0</v>
      </c>
    </row>
    <row r="368" spans="1:6">
      <c r="A368" s="782"/>
      <c r="B368" s="766"/>
      <c r="C368" s="784"/>
      <c r="D368" s="784"/>
      <c r="E368" s="766"/>
      <c r="F368" s="766"/>
    </row>
    <row r="369" spans="1:6" ht="33" customHeight="1">
      <c r="A369" s="782" t="s">
        <v>265</v>
      </c>
      <c r="B369" s="737" t="s">
        <v>1497</v>
      </c>
      <c r="C369" s="840" t="s">
        <v>42</v>
      </c>
      <c r="D369" s="792">
        <v>1</v>
      </c>
      <c r="E369" s="898"/>
      <c r="F369" s="841">
        <f>D369*E369</f>
        <v>0</v>
      </c>
    </row>
    <row r="370" spans="1:6">
      <c r="A370" s="845"/>
      <c r="B370" s="751"/>
      <c r="C370" s="843"/>
      <c r="D370" s="843"/>
      <c r="E370" s="789"/>
      <c r="F370" s="789"/>
    </row>
    <row r="371" spans="1:6" ht="29.25" customHeight="1">
      <c r="A371" s="782" t="s">
        <v>266</v>
      </c>
      <c r="B371" s="751" t="s">
        <v>1400</v>
      </c>
      <c r="C371" s="840" t="s">
        <v>1276</v>
      </c>
      <c r="D371" s="792">
        <v>1</v>
      </c>
      <c r="E371" s="898"/>
      <c r="F371" s="841">
        <f>D371*E371</f>
        <v>0</v>
      </c>
    </row>
    <row r="372" spans="1:6">
      <c r="A372" s="782"/>
      <c r="B372" s="737"/>
      <c r="C372" s="843"/>
      <c r="D372" s="784"/>
      <c r="E372" s="766"/>
      <c r="F372" s="766"/>
    </row>
    <row r="373" spans="1:6" ht="38.25" customHeight="1">
      <c r="A373" s="899" t="s">
        <v>267</v>
      </c>
      <c r="B373" s="740" t="s">
        <v>1498</v>
      </c>
      <c r="C373" s="840" t="s">
        <v>1276</v>
      </c>
      <c r="D373" s="792">
        <v>1</v>
      </c>
      <c r="E373" s="898"/>
      <c r="F373" s="841">
        <f>D373*E373</f>
        <v>0</v>
      </c>
    </row>
    <row r="374" spans="1:6">
      <c r="A374" s="782"/>
      <c r="B374" s="741"/>
      <c r="C374" s="843"/>
      <c r="D374" s="784"/>
      <c r="E374" s="850"/>
      <c r="F374" s="850"/>
    </row>
    <row r="375" spans="1:6" ht="29.25" customHeight="1">
      <c r="A375" s="900"/>
      <c r="B375" s="763" t="s">
        <v>1486</v>
      </c>
      <c r="C375" s="870"/>
      <c r="D375" s="870"/>
      <c r="E375" s="891" t="s">
        <v>15</v>
      </c>
      <c r="F375" s="901">
        <f>SUM(F353:F373)</f>
        <v>0</v>
      </c>
    </row>
    <row r="376" spans="1:6">
      <c r="A376" s="845"/>
      <c r="B376" s="741"/>
      <c r="C376" s="843"/>
      <c r="D376" s="843"/>
      <c r="E376" s="848"/>
      <c r="F376" s="849"/>
    </row>
    <row r="377" spans="1:6" ht="22.5" customHeight="1">
      <c r="A377" s="902" t="s">
        <v>1499</v>
      </c>
      <c r="B377" s="768" t="s">
        <v>1500</v>
      </c>
      <c r="C377" s="903"/>
      <c r="D377" s="904"/>
      <c r="E377" s="905"/>
      <c r="F377" s="905"/>
    </row>
    <row r="378" spans="1:6">
      <c r="A378" s="906"/>
      <c r="B378" s="726"/>
      <c r="C378" s="843"/>
      <c r="D378" s="843"/>
      <c r="E378" s="785"/>
      <c r="F378" s="785"/>
    </row>
    <row r="379" spans="1:6" ht="31.5" customHeight="1">
      <c r="A379" s="845" t="s">
        <v>261</v>
      </c>
      <c r="B379" s="726" t="s">
        <v>1501</v>
      </c>
      <c r="C379" s="792" t="s">
        <v>926</v>
      </c>
      <c r="D379" s="840">
        <v>280</v>
      </c>
      <c r="E379" s="889"/>
      <c r="F379" s="841">
        <f>D379*E379</f>
        <v>0</v>
      </c>
    </row>
    <row r="380" spans="1:6">
      <c r="A380" s="906"/>
      <c r="B380" s="726"/>
      <c r="C380" s="843"/>
      <c r="D380" s="843"/>
      <c r="E380" s="785"/>
      <c r="F380" s="785"/>
    </row>
    <row r="381" spans="1:6" ht="42" customHeight="1">
      <c r="A381" s="845" t="s">
        <v>262</v>
      </c>
      <c r="B381" s="726" t="s">
        <v>1502</v>
      </c>
      <c r="C381" s="792" t="s">
        <v>42</v>
      </c>
      <c r="D381" s="840">
        <v>30</v>
      </c>
      <c r="E381" s="889"/>
      <c r="F381" s="841">
        <f>D381*E381</f>
        <v>0</v>
      </c>
    </row>
    <row r="382" spans="1:6">
      <c r="A382" s="906"/>
      <c r="B382" s="726"/>
      <c r="C382" s="843"/>
      <c r="D382" s="843"/>
      <c r="E382" s="785"/>
      <c r="F382" s="785"/>
    </row>
    <row r="383" spans="1:6" ht="49.5" customHeight="1">
      <c r="A383" s="845" t="s">
        <v>263</v>
      </c>
      <c r="B383" s="726" t="s">
        <v>1503</v>
      </c>
      <c r="C383" s="792" t="s">
        <v>926</v>
      </c>
      <c r="D383" s="840">
        <v>20</v>
      </c>
      <c r="E383" s="889"/>
      <c r="F383" s="841">
        <f>D383*E383</f>
        <v>0</v>
      </c>
    </row>
    <row r="384" spans="1:6">
      <c r="A384" s="845"/>
      <c r="B384" s="726"/>
      <c r="C384" s="855"/>
      <c r="D384" s="854"/>
      <c r="E384" s="876"/>
      <c r="F384" s="848"/>
    </row>
    <row r="385" spans="1:6" ht="62.25" customHeight="1">
      <c r="A385" s="845" t="s">
        <v>264</v>
      </c>
      <c r="B385" s="726" t="s">
        <v>1504</v>
      </c>
      <c r="C385" s="792" t="s">
        <v>926</v>
      </c>
      <c r="D385" s="840">
        <v>30</v>
      </c>
      <c r="E385" s="889"/>
      <c r="F385" s="841">
        <f>D385*E385</f>
        <v>0</v>
      </c>
    </row>
    <row r="386" spans="1:6">
      <c r="A386" s="906"/>
      <c r="B386" s="726"/>
      <c r="C386" s="784"/>
      <c r="D386" s="843"/>
      <c r="E386" s="849"/>
      <c r="F386" s="907"/>
    </row>
    <row r="387" spans="1:6" ht="19.5" customHeight="1">
      <c r="A387" s="845" t="s">
        <v>265</v>
      </c>
      <c r="B387" s="726" t="s">
        <v>1505</v>
      </c>
      <c r="C387" s="792" t="s">
        <v>42</v>
      </c>
      <c r="D387" s="840">
        <v>6</v>
      </c>
      <c r="E387" s="889"/>
      <c r="F387" s="841">
        <f>D387*E387</f>
        <v>0</v>
      </c>
    </row>
    <row r="388" spans="1:6">
      <c r="A388" s="906"/>
      <c r="B388" s="726"/>
      <c r="C388" s="784"/>
      <c r="D388" s="843"/>
      <c r="E388" s="849"/>
      <c r="F388" s="907"/>
    </row>
    <row r="389" spans="1:6" ht="60" customHeight="1">
      <c r="A389" s="845" t="s">
        <v>266</v>
      </c>
      <c r="B389" s="726" t="s">
        <v>1506</v>
      </c>
      <c r="C389" s="792" t="s">
        <v>42</v>
      </c>
      <c r="D389" s="840">
        <v>20</v>
      </c>
      <c r="E389" s="889"/>
      <c r="F389" s="841">
        <f>D389*E389</f>
        <v>0</v>
      </c>
    </row>
    <row r="390" spans="1:6">
      <c r="A390" s="906"/>
      <c r="B390" s="726"/>
      <c r="C390" s="784"/>
      <c r="D390" s="843"/>
      <c r="E390" s="849"/>
      <c r="F390" s="907"/>
    </row>
    <row r="391" spans="1:6" ht="21" customHeight="1">
      <c r="A391" s="845" t="s">
        <v>267</v>
      </c>
      <c r="B391" s="726" t="s">
        <v>1507</v>
      </c>
      <c r="C391" s="792" t="s">
        <v>42</v>
      </c>
      <c r="D391" s="840">
        <v>25</v>
      </c>
      <c r="E391" s="889"/>
      <c r="F391" s="841">
        <f>D391*E391</f>
        <v>0</v>
      </c>
    </row>
    <row r="392" spans="1:6">
      <c r="A392" s="906"/>
      <c r="B392" s="741"/>
      <c r="C392" s="784"/>
      <c r="D392" s="843"/>
      <c r="E392" s="849"/>
      <c r="F392" s="907"/>
    </row>
    <row r="393" spans="1:6" ht="28.5" customHeight="1">
      <c r="A393" s="845" t="s">
        <v>268</v>
      </c>
      <c r="B393" s="770" t="s">
        <v>1508</v>
      </c>
      <c r="C393" s="792" t="s">
        <v>926</v>
      </c>
      <c r="D393" s="840">
        <v>240</v>
      </c>
      <c r="E393" s="889"/>
      <c r="F393" s="841">
        <f>D393*E393</f>
        <v>0</v>
      </c>
    </row>
    <row r="394" spans="1:6">
      <c r="A394" s="906"/>
      <c r="B394" s="770"/>
      <c r="C394" s="784"/>
      <c r="D394" s="843"/>
      <c r="E394" s="849"/>
      <c r="F394" s="908"/>
    </row>
    <row r="395" spans="1:6" ht="32.25" customHeight="1">
      <c r="A395" s="845" t="s">
        <v>269</v>
      </c>
      <c r="B395" s="770" t="s">
        <v>1509</v>
      </c>
      <c r="C395" s="792" t="s">
        <v>42</v>
      </c>
      <c r="D395" s="840">
        <v>160</v>
      </c>
      <c r="E395" s="889"/>
      <c r="F395" s="841">
        <f>D395*E395</f>
        <v>0</v>
      </c>
    </row>
    <row r="396" spans="1:6">
      <c r="A396" s="845"/>
      <c r="B396" s="770"/>
      <c r="C396" s="784"/>
      <c r="D396" s="843"/>
      <c r="E396" s="849"/>
      <c r="F396" s="848"/>
    </row>
    <row r="397" spans="1:6" ht="27" customHeight="1">
      <c r="A397" s="845" t="s">
        <v>270</v>
      </c>
      <c r="B397" s="751" t="s">
        <v>1510</v>
      </c>
      <c r="C397" s="784"/>
      <c r="D397" s="843"/>
      <c r="E397" s="849"/>
      <c r="F397" s="908"/>
    </row>
    <row r="398" spans="1:6" ht="19.5" customHeight="1">
      <c r="A398" s="906"/>
      <c r="B398" s="741" t="s">
        <v>1511</v>
      </c>
      <c r="C398" s="792" t="s">
        <v>42</v>
      </c>
      <c r="D398" s="840">
        <v>6</v>
      </c>
      <c r="E398" s="889"/>
      <c r="F398" s="841">
        <f t="shared" ref="F398:F399" si="13">D398*E398</f>
        <v>0</v>
      </c>
    </row>
    <row r="399" spans="1:6" ht="18.75" customHeight="1">
      <c r="A399" s="906"/>
      <c r="B399" s="726" t="s">
        <v>1512</v>
      </c>
      <c r="C399" s="795" t="s">
        <v>42</v>
      </c>
      <c r="D399" s="857">
        <v>6</v>
      </c>
      <c r="E399" s="909"/>
      <c r="F399" s="841">
        <f t="shared" si="13"/>
        <v>0</v>
      </c>
    </row>
    <row r="400" spans="1:6">
      <c r="A400" s="906"/>
      <c r="B400" s="726"/>
      <c r="C400" s="784"/>
      <c r="D400" s="843"/>
      <c r="E400" s="849"/>
      <c r="F400" s="848"/>
    </row>
    <row r="401" spans="1:6" ht="31.5" customHeight="1">
      <c r="A401" s="845" t="s">
        <v>271</v>
      </c>
      <c r="B401" s="726" t="s">
        <v>1513</v>
      </c>
      <c r="C401" s="792" t="s">
        <v>42</v>
      </c>
      <c r="D401" s="840">
        <v>1</v>
      </c>
      <c r="E401" s="805"/>
      <c r="F401" s="841">
        <f>D401*E401</f>
        <v>0</v>
      </c>
    </row>
    <row r="402" spans="1:6">
      <c r="A402" s="845"/>
      <c r="B402" s="726"/>
      <c r="C402" s="855"/>
      <c r="D402" s="854"/>
      <c r="E402" s="874"/>
      <c r="F402" s="910"/>
    </row>
    <row r="403" spans="1:6" ht="39.75" customHeight="1">
      <c r="A403" s="845" t="s">
        <v>272</v>
      </c>
      <c r="B403" s="726" t="s">
        <v>1514</v>
      </c>
      <c r="C403" s="792" t="s">
        <v>42</v>
      </c>
      <c r="D403" s="840">
        <v>1</v>
      </c>
      <c r="E403" s="805"/>
      <c r="F403" s="841">
        <f>D403*E403</f>
        <v>0</v>
      </c>
    </row>
    <row r="404" spans="1:6">
      <c r="A404" s="845"/>
      <c r="B404" s="726"/>
      <c r="C404" s="855"/>
      <c r="D404" s="854"/>
      <c r="E404" s="874"/>
      <c r="F404" s="910"/>
    </row>
    <row r="405" spans="1:6" ht="125.25" customHeight="1">
      <c r="A405" s="845">
        <v>13</v>
      </c>
      <c r="B405" s="726" t="s">
        <v>1515</v>
      </c>
      <c r="C405" s="792" t="s">
        <v>1278</v>
      </c>
      <c r="D405" s="840">
        <v>1</v>
      </c>
      <c r="E405" s="805"/>
      <c r="F405" s="841">
        <f>D405*E405</f>
        <v>0</v>
      </c>
    </row>
    <row r="406" spans="1:6">
      <c r="A406" s="845"/>
      <c r="B406" s="726"/>
      <c r="C406" s="855"/>
      <c r="D406" s="854"/>
      <c r="E406" s="874"/>
      <c r="F406" s="910"/>
    </row>
    <row r="407" spans="1:6" ht="50.25" customHeight="1">
      <c r="A407" s="845" t="s">
        <v>274</v>
      </c>
      <c r="B407" s="726" t="s">
        <v>1516</v>
      </c>
      <c r="C407" s="792" t="s">
        <v>1278</v>
      </c>
      <c r="D407" s="840">
        <v>2</v>
      </c>
      <c r="E407" s="805"/>
      <c r="F407" s="841">
        <f>D407*E407</f>
        <v>0</v>
      </c>
    </row>
    <row r="408" spans="1:6">
      <c r="A408" s="845"/>
      <c r="B408" s="726"/>
      <c r="C408" s="855"/>
      <c r="D408" s="854"/>
      <c r="E408" s="874"/>
      <c r="F408" s="910"/>
    </row>
    <row r="409" spans="1:6" ht="42.75" customHeight="1">
      <c r="A409" s="845" t="s">
        <v>275</v>
      </c>
      <c r="B409" s="741" t="s">
        <v>1517</v>
      </c>
      <c r="C409" s="840" t="s">
        <v>1276</v>
      </c>
      <c r="D409" s="840">
        <v>1</v>
      </c>
      <c r="E409" s="889"/>
      <c r="F409" s="841">
        <f>D409*E409</f>
        <v>0</v>
      </c>
    </row>
    <row r="410" spans="1:6">
      <c r="A410" s="847"/>
      <c r="B410" s="741"/>
      <c r="C410" s="843"/>
      <c r="D410" s="843"/>
      <c r="E410" s="863"/>
      <c r="F410" s="863"/>
    </row>
    <row r="411" spans="1:6" ht="80.25" customHeight="1">
      <c r="A411" s="847" t="s">
        <v>276</v>
      </c>
      <c r="B411" s="741" t="s">
        <v>1518</v>
      </c>
      <c r="C411" s="840" t="s">
        <v>42</v>
      </c>
      <c r="D411" s="840">
        <v>1</v>
      </c>
      <c r="E411" s="877"/>
      <c r="F411" s="841">
        <f>D411*E411</f>
        <v>0</v>
      </c>
    </row>
    <row r="412" spans="1:6">
      <c r="A412" s="847"/>
      <c r="B412" s="741"/>
      <c r="C412" s="843"/>
      <c r="D412" s="843"/>
      <c r="E412" s="863"/>
      <c r="F412" s="813"/>
    </row>
    <row r="413" spans="1:6" ht="21" customHeight="1">
      <c r="A413" s="911"/>
      <c r="B413" s="763" t="s">
        <v>1519</v>
      </c>
      <c r="C413" s="890"/>
      <c r="D413" s="890"/>
      <c r="E413" s="912" t="s">
        <v>1520</v>
      </c>
      <c r="F413" s="913">
        <f>SUM(F379:F411)</f>
        <v>0</v>
      </c>
    </row>
    <row r="414" spans="1:6">
      <c r="A414" s="906"/>
      <c r="B414" s="726"/>
      <c r="C414" s="843"/>
      <c r="D414" s="843"/>
      <c r="E414" s="914"/>
      <c r="F414" s="914"/>
    </row>
    <row r="415" spans="1:6" ht="49.5" customHeight="1">
      <c r="A415" s="915" t="s">
        <v>1521</v>
      </c>
      <c r="B415" s="916" t="s">
        <v>1522</v>
      </c>
      <c r="C415" s="917"/>
      <c r="D415" s="918"/>
      <c r="E415" s="919"/>
      <c r="F415" s="919"/>
    </row>
    <row r="416" spans="1:6">
      <c r="A416" s="783"/>
      <c r="B416" s="920"/>
      <c r="C416" s="766"/>
      <c r="D416" s="784"/>
      <c r="E416" s="914"/>
      <c r="F416" s="914"/>
    </row>
    <row r="417" spans="1:6" ht="68.25" customHeight="1">
      <c r="A417" s="845"/>
      <c r="B417" s="769" t="s">
        <v>1523</v>
      </c>
      <c r="C417" s="784"/>
      <c r="D417" s="843"/>
      <c r="E417" s="921"/>
      <c r="F417" s="921"/>
    </row>
    <row r="418" spans="1:6">
      <c r="A418" s="845"/>
      <c r="B418" s="740"/>
      <c r="C418" s="784"/>
      <c r="D418" s="843"/>
      <c r="E418" s="921"/>
      <c r="F418" s="921"/>
    </row>
    <row r="419" spans="1:6" ht="81" customHeight="1">
      <c r="A419" s="845" t="s">
        <v>261</v>
      </c>
      <c r="B419" s="740" t="s">
        <v>1524</v>
      </c>
      <c r="C419" s="792" t="s">
        <v>42</v>
      </c>
      <c r="D419" s="840">
        <v>1</v>
      </c>
      <c r="E419" s="889"/>
      <c r="F419" s="841">
        <f>D419*E419</f>
        <v>0</v>
      </c>
    </row>
    <row r="420" spans="1:6">
      <c r="A420" s="845"/>
      <c r="B420" s="740"/>
      <c r="C420" s="784"/>
      <c r="D420" s="843"/>
      <c r="E420" s="849"/>
      <c r="F420" s="849"/>
    </row>
    <row r="421" spans="1:6" ht="43.5" customHeight="1">
      <c r="A421" s="845" t="s">
        <v>262</v>
      </c>
      <c r="B421" s="740" t="s">
        <v>1525</v>
      </c>
      <c r="C421" s="792" t="s">
        <v>42</v>
      </c>
      <c r="D421" s="792">
        <v>1</v>
      </c>
      <c r="E421" s="889"/>
      <c r="F421" s="841">
        <f>D421*E421</f>
        <v>0</v>
      </c>
    </row>
    <row r="422" spans="1:6">
      <c r="A422" s="845"/>
      <c r="B422" s="740"/>
      <c r="C422" s="784"/>
      <c r="D422" s="843"/>
      <c r="E422" s="849"/>
      <c r="F422" s="849"/>
    </row>
    <row r="423" spans="1:6" ht="39" customHeight="1">
      <c r="A423" s="845" t="s">
        <v>263</v>
      </c>
      <c r="B423" s="770" t="s">
        <v>1526</v>
      </c>
      <c r="C423" s="792" t="s">
        <v>42</v>
      </c>
      <c r="D423" s="840">
        <v>1</v>
      </c>
      <c r="E423" s="889"/>
      <c r="F423" s="841">
        <f>D423*E423</f>
        <v>0</v>
      </c>
    </row>
    <row r="424" spans="1:6">
      <c r="A424" s="845"/>
      <c r="B424" s="770"/>
      <c r="C424" s="855"/>
      <c r="D424" s="854"/>
      <c r="E424" s="876"/>
      <c r="F424" s="876"/>
    </row>
    <row r="425" spans="1:6" ht="29.25" customHeight="1">
      <c r="A425" s="845" t="s">
        <v>264</v>
      </c>
      <c r="B425" s="770" t="s">
        <v>1527</v>
      </c>
      <c r="C425" s="792" t="s">
        <v>42</v>
      </c>
      <c r="D425" s="840">
        <v>1</v>
      </c>
      <c r="E425" s="889"/>
      <c r="F425" s="841">
        <f>D425*E425</f>
        <v>0</v>
      </c>
    </row>
    <row r="426" spans="1:6">
      <c r="A426" s="845"/>
      <c r="B426" s="770"/>
      <c r="C426" s="855"/>
      <c r="D426" s="854"/>
      <c r="E426" s="876"/>
      <c r="F426" s="922"/>
    </row>
    <row r="427" spans="1:6" ht="49.5" customHeight="1">
      <c r="A427" s="845" t="s">
        <v>265</v>
      </c>
      <c r="B427" s="770" t="s">
        <v>1528</v>
      </c>
      <c r="C427" s="792" t="s">
        <v>926</v>
      </c>
      <c r="D427" s="840">
        <v>25</v>
      </c>
      <c r="E427" s="889"/>
      <c r="F427" s="841">
        <f>D427*E427</f>
        <v>0</v>
      </c>
    </row>
    <row r="428" spans="1:6">
      <c r="A428" s="906"/>
      <c r="B428" s="770"/>
      <c r="C428" s="784"/>
      <c r="D428" s="843"/>
      <c r="E428" s="849"/>
      <c r="F428" s="923"/>
    </row>
    <row r="429" spans="1:6" ht="29.25" customHeight="1">
      <c r="A429" s="845" t="s">
        <v>266</v>
      </c>
      <c r="B429" s="770" t="s">
        <v>1529</v>
      </c>
      <c r="C429" s="792" t="s">
        <v>926</v>
      </c>
      <c r="D429" s="840">
        <v>35</v>
      </c>
      <c r="E429" s="889"/>
      <c r="F429" s="841">
        <f>D429*E429</f>
        <v>0</v>
      </c>
    </row>
    <row r="430" spans="1:6">
      <c r="A430" s="845"/>
      <c r="B430" s="770"/>
      <c r="C430" s="784"/>
      <c r="D430" s="843"/>
      <c r="E430" s="849"/>
      <c r="F430" s="849"/>
    </row>
    <row r="431" spans="1:6" ht="28.5" customHeight="1">
      <c r="A431" s="845" t="s">
        <v>267</v>
      </c>
      <c r="B431" s="740" t="s">
        <v>1530</v>
      </c>
      <c r="C431" s="840" t="s">
        <v>1273</v>
      </c>
      <c r="D431" s="840">
        <v>1</v>
      </c>
      <c r="E431" s="889"/>
      <c r="F431" s="841">
        <f>D431*E431</f>
        <v>0</v>
      </c>
    </row>
    <row r="432" spans="1:6">
      <c r="A432" s="924"/>
      <c r="B432" s="766"/>
      <c r="C432" s="843"/>
      <c r="D432" s="843"/>
      <c r="E432" s="921"/>
      <c r="F432" s="925"/>
    </row>
    <row r="433" spans="1:6" ht="30" customHeight="1">
      <c r="A433" s="881"/>
      <c r="B433" s="926" t="s">
        <v>1522</v>
      </c>
      <c r="C433" s="890"/>
      <c r="D433" s="890"/>
      <c r="E433" s="927" t="s">
        <v>15</v>
      </c>
      <c r="F433" s="928">
        <f>SUM(F417:F431)</f>
        <v>0</v>
      </c>
    </row>
    <row r="434" spans="1:6">
      <c r="A434" s="782"/>
      <c r="B434" s="770"/>
      <c r="C434" s="784"/>
      <c r="D434" s="784"/>
      <c r="E434" s="914"/>
      <c r="F434" s="914"/>
    </row>
    <row r="435" spans="1:6" ht="20.25" customHeight="1">
      <c r="A435" s="776" t="s">
        <v>1531</v>
      </c>
      <c r="B435" s="734" t="s">
        <v>1532</v>
      </c>
      <c r="C435" s="893"/>
      <c r="D435" s="893"/>
      <c r="E435" s="894"/>
      <c r="F435" s="929"/>
    </row>
    <row r="436" spans="1:6">
      <c r="A436" s="782"/>
      <c r="B436" s="771"/>
      <c r="C436" s="784"/>
      <c r="D436" s="784"/>
      <c r="E436" s="789"/>
      <c r="F436" s="789"/>
    </row>
    <row r="437" spans="1:6" ht="49.5" customHeight="1">
      <c r="A437" s="782">
        <v>1</v>
      </c>
      <c r="B437" s="772" t="s">
        <v>1533</v>
      </c>
      <c r="C437" s="784"/>
      <c r="D437" s="930"/>
      <c r="E437" s="930"/>
      <c r="F437" s="813"/>
    </row>
    <row r="438" spans="1:6" ht="15.75" customHeight="1">
      <c r="A438" s="847" t="s">
        <v>1267</v>
      </c>
      <c r="B438" s="740" t="s">
        <v>1534</v>
      </c>
      <c r="C438" s="840" t="s">
        <v>926</v>
      </c>
      <c r="D438" s="840">
        <v>300</v>
      </c>
      <c r="E438" s="931"/>
      <c r="F438" s="841">
        <f>D438*E438</f>
        <v>0</v>
      </c>
    </row>
    <row r="439" spans="1:6">
      <c r="A439" s="782"/>
      <c r="B439" s="772"/>
      <c r="C439" s="784"/>
      <c r="D439" s="930"/>
      <c r="E439" s="932"/>
      <c r="F439" s="933"/>
    </row>
    <row r="440" spans="1:6" ht="32.25" customHeight="1">
      <c r="A440" s="782" t="s">
        <v>262</v>
      </c>
      <c r="B440" s="772" t="s">
        <v>1535</v>
      </c>
      <c r="C440" s="792" t="s">
        <v>926</v>
      </c>
      <c r="D440" s="840">
        <v>300</v>
      </c>
      <c r="E440" s="934"/>
      <c r="F440" s="841">
        <f>D440*E440</f>
        <v>0</v>
      </c>
    </row>
    <row r="441" spans="1:6">
      <c r="A441" s="782"/>
      <c r="B441" s="772"/>
      <c r="C441" s="784"/>
      <c r="D441" s="930"/>
      <c r="E441" s="932"/>
      <c r="F441" s="933"/>
    </row>
    <row r="442" spans="1:6" ht="53.25" customHeight="1">
      <c r="A442" s="847" t="s">
        <v>263</v>
      </c>
      <c r="B442" s="740" t="s">
        <v>1536</v>
      </c>
      <c r="C442" s="792" t="s">
        <v>660</v>
      </c>
      <c r="D442" s="935">
        <v>1</v>
      </c>
      <c r="E442" s="934"/>
      <c r="F442" s="841">
        <f>D442*E442</f>
        <v>0</v>
      </c>
    </row>
    <row r="443" spans="1:6">
      <c r="A443" s="847"/>
      <c r="B443" s="773"/>
      <c r="C443" s="784"/>
      <c r="D443" s="930"/>
      <c r="E443" s="932"/>
      <c r="F443" s="933"/>
    </row>
    <row r="444" spans="1:6" ht="107.25" customHeight="1">
      <c r="A444" s="847" t="s">
        <v>264</v>
      </c>
      <c r="B444" s="773" t="s">
        <v>1537</v>
      </c>
      <c r="C444" s="792" t="s">
        <v>660</v>
      </c>
      <c r="D444" s="840">
        <v>32</v>
      </c>
      <c r="E444" s="936"/>
      <c r="F444" s="841">
        <f>D444*E444</f>
        <v>0</v>
      </c>
    </row>
    <row r="445" spans="1:6">
      <c r="A445" s="847"/>
      <c r="B445" s="773"/>
      <c r="C445" s="843"/>
      <c r="D445" s="843"/>
      <c r="E445" s="937"/>
      <c r="F445" s="938"/>
    </row>
    <row r="446" spans="1:6" ht="104.25" customHeight="1">
      <c r="A446" s="847" t="s">
        <v>265</v>
      </c>
      <c r="B446" s="773" t="s">
        <v>1538</v>
      </c>
      <c r="C446" s="792" t="s">
        <v>660</v>
      </c>
      <c r="D446" s="840">
        <v>2</v>
      </c>
      <c r="E446" s="936"/>
      <c r="F446" s="841">
        <f>D446*E446</f>
        <v>0</v>
      </c>
    </row>
    <row r="447" spans="1:6">
      <c r="A447" s="847"/>
      <c r="B447" s="773"/>
      <c r="C447" s="843"/>
      <c r="D447" s="843"/>
      <c r="E447" s="937"/>
      <c r="F447" s="938"/>
    </row>
    <row r="448" spans="1:6" ht="29.25" customHeight="1">
      <c r="A448" s="847" t="s">
        <v>266</v>
      </c>
      <c r="B448" s="773" t="s">
        <v>1539</v>
      </c>
      <c r="C448" s="792" t="s">
        <v>660</v>
      </c>
      <c r="D448" s="939">
        <v>34</v>
      </c>
      <c r="E448" s="940"/>
      <c r="F448" s="841">
        <f>D448*E448</f>
        <v>0</v>
      </c>
    </row>
    <row r="449" spans="1:6">
      <c r="A449" s="847"/>
      <c r="B449" s="773"/>
      <c r="C449" s="843"/>
      <c r="D449" s="941"/>
      <c r="E449" s="942"/>
      <c r="F449" s="938"/>
    </row>
    <row r="450" spans="1:6" ht="92.25" customHeight="1">
      <c r="A450" s="847" t="s">
        <v>267</v>
      </c>
      <c r="B450" s="773" t="s">
        <v>1540</v>
      </c>
      <c r="C450" s="792" t="s">
        <v>660</v>
      </c>
      <c r="D450" s="840">
        <v>3</v>
      </c>
      <c r="E450" s="936"/>
      <c r="F450" s="841">
        <f>D450*E450</f>
        <v>0</v>
      </c>
    </row>
    <row r="451" spans="1:6">
      <c r="A451" s="847"/>
      <c r="B451" s="773"/>
      <c r="C451" s="843"/>
      <c r="D451" s="843"/>
      <c r="E451" s="937"/>
      <c r="F451" s="938"/>
    </row>
    <row r="452" spans="1:6" ht="107.25" customHeight="1">
      <c r="A452" s="847" t="s">
        <v>268</v>
      </c>
      <c r="B452" s="773" t="s">
        <v>1541</v>
      </c>
      <c r="C452" s="792" t="s">
        <v>660</v>
      </c>
      <c r="D452" s="840">
        <v>3</v>
      </c>
      <c r="E452" s="936"/>
      <c r="F452" s="841">
        <f>D452*E452</f>
        <v>0</v>
      </c>
    </row>
    <row r="453" spans="1:6">
      <c r="A453" s="847"/>
      <c r="B453" s="773"/>
      <c r="C453" s="843"/>
      <c r="D453" s="843"/>
      <c r="E453" s="937"/>
      <c r="F453" s="938"/>
    </row>
    <row r="454" spans="1:6" ht="39.75" customHeight="1">
      <c r="A454" s="847" t="s">
        <v>269</v>
      </c>
      <c r="B454" s="773" t="s">
        <v>1542</v>
      </c>
      <c r="C454" s="792" t="s">
        <v>660</v>
      </c>
      <c r="D454" s="840">
        <v>4</v>
      </c>
      <c r="E454" s="936"/>
      <c r="F454" s="841">
        <f>D454*E454</f>
        <v>0</v>
      </c>
    </row>
    <row r="455" spans="1:6">
      <c r="A455" s="847"/>
      <c r="B455" s="773"/>
      <c r="C455" s="843"/>
      <c r="D455" s="843"/>
      <c r="E455" s="937"/>
      <c r="F455" s="938"/>
    </row>
    <row r="456" spans="1:6" ht="27" customHeight="1">
      <c r="A456" s="847" t="s">
        <v>270</v>
      </c>
      <c r="B456" s="773" t="s">
        <v>1543</v>
      </c>
      <c r="C456" s="792" t="s">
        <v>660</v>
      </c>
      <c r="D456" s="840">
        <v>2</v>
      </c>
      <c r="E456" s="936"/>
      <c r="F456" s="841">
        <f>D456*E456</f>
        <v>0</v>
      </c>
    </row>
    <row r="457" spans="1:6">
      <c r="A457" s="847"/>
      <c r="B457" s="773"/>
      <c r="C457" s="843"/>
      <c r="D457" s="843"/>
      <c r="E457" s="937"/>
      <c r="F457" s="938"/>
    </row>
    <row r="458" spans="1:6" ht="55.5" customHeight="1">
      <c r="A458" s="847" t="s">
        <v>271</v>
      </c>
      <c r="B458" s="773" t="s">
        <v>1544</v>
      </c>
      <c r="C458" s="840" t="s">
        <v>1276</v>
      </c>
      <c r="D458" s="840">
        <v>1</v>
      </c>
      <c r="E458" s="936"/>
      <c r="F458" s="841">
        <f>D458*E458</f>
        <v>0</v>
      </c>
    </row>
    <row r="459" spans="1:6">
      <c r="A459" s="847"/>
      <c r="B459" s="773"/>
      <c r="C459" s="843"/>
      <c r="D459" s="843"/>
      <c r="E459" s="937"/>
      <c r="F459" s="938"/>
    </row>
    <row r="460" spans="1:6" ht="48.75" customHeight="1">
      <c r="A460" s="782" t="s">
        <v>272</v>
      </c>
      <c r="B460" s="737" t="s">
        <v>1545</v>
      </c>
      <c r="C460" s="792" t="s">
        <v>1276</v>
      </c>
      <c r="D460" s="792">
        <v>1</v>
      </c>
      <c r="E460" s="793"/>
      <c r="F460" s="841">
        <f>D460*E460</f>
        <v>0</v>
      </c>
    </row>
    <row r="461" spans="1:6">
      <c r="A461" s="782"/>
      <c r="B461" s="771"/>
      <c r="C461" s="784"/>
      <c r="D461" s="784"/>
      <c r="E461" s="789"/>
      <c r="F461" s="789"/>
    </row>
    <row r="462" spans="1:6" ht="44.25" customHeight="1">
      <c r="A462" s="900"/>
      <c r="B462" s="764" t="s">
        <v>1532</v>
      </c>
      <c r="C462" s="870"/>
      <c r="D462" s="870"/>
      <c r="E462" s="891" t="s">
        <v>15</v>
      </c>
      <c r="F462" s="887">
        <f>SUM(F437:F460)</f>
        <v>0</v>
      </c>
    </row>
    <row r="463" spans="1:6">
      <c r="A463" s="782"/>
      <c r="B463" s="726"/>
      <c r="C463" s="784"/>
      <c r="D463" s="784"/>
      <c r="E463" s="813"/>
      <c r="F463" s="813"/>
    </row>
    <row r="464" spans="1:6">
      <c r="A464" s="782"/>
      <c r="B464" s="726"/>
      <c r="C464" s="784"/>
      <c r="D464" s="784"/>
      <c r="E464" s="813"/>
      <c r="F464" s="813"/>
    </row>
    <row r="465" spans="1:6" ht="18">
      <c r="A465" s="943"/>
      <c r="B465" s="774" t="s">
        <v>1546</v>
      </c>
      <c r="C465" s="944"/>
      <c r="D465" s="944"/>
      <c r="E465" s="945"/>
      <c r="F465" s="946"/>
    </row>
    <row r="466" spans="1:6" ht="15.75">
      <c r="A466" s="943"/>
      <c r="B466" s="775"/>
      <c r="C466" s="944"/>
      <c r="D466" s="944"/>
      <c r="E466" s="945"/>
      <c r="F466" s="946"/>
    </row>
    <row r="467" spans="1:6" ht="18.75" customHeight="1">
      <c r="A467" s="915" t="s">
        <v>1264</v>
      </c>
      <c r="B467" s="748" t="s">
        <v>1265</v>
      </c>
      <c r="C467" s="947"/>
      <c r="D467" s="947"/>
      <c r="E467" s="948"/>
      <c r="F467" s="949">
        <f>F107</f>
        <v>0</v>
      </c>
    </row>
    <row r="468" spans="1:6" ht="18.75" customHeight="1">
      <c r="A468" s="915" t="s">
        <v>1326</v>
      </c>
      <c r="B468" s="748" t="s">
        <v>1327</v>
      </c>
      <c r="C468" s="947"/>
      <c r="D468" s="947"/>
      <c r="E468" s="948"/>
      <c r="F468" s="949">
        <f>F208</f>
        <v>0</v>
      </c>
    </row>
    <row r="469" spans="1:6" ht="30.75" customHeight="1">
      <c r="A469" s="915" t="s">
        <v>1401</v>
      </c>
      <c r="B469" s="757" t="s">
        <v>1402</v>
      </c>
      <c r="C469" s="947"/>
      <c r="D469" s="947"/>
      <c r="E469" s="948"/>
      <c r="F469" s="949">
        <f>F300</f>
        <v>0</v>
      </c>
    </row>
    <row r="470" spans="1:6" ht="26.25" customHeight="1">
      <c r="A470" s="776" t="s">
        <v>1457</v>
      </c>
      <c r="B470" s="777" t="s">
        <v>1458</v>
      </c>
      <c r="C470" s="947"/>
      <c r="D470" s="947"/>
      <c r="E470" s="948"/>
      <c r="F470" s="949">
        <f>F347</f>
        <v>0</v>
      </c>
    </row>
    <row r="471" spans="1:6" ht="18.75" customHeight="1">
      <c r="A471" s="950" t="s">
        <v>1485</v>
      </c>
      <c r="B471" s="748" t="s">
        <v>1486</v>
      </c>
      <c r="C471" s="951"/>
      <c r="D471" s="951"/>
      <c r="E471" s="952"/>
      <c r="F471" s="953">
        <f>F375</f>
        <v>0</v>
      </c>
    </row>
    <row r="472" spans="1:6" ht="18" customHeight="1">
      <c r="A472" s="786" t="s">
        <v>1499</v>
      </c>
      <c r="B472" s="748" t="s">
        <v>1519</v>
      </c>
      <c r="C472" s="947"/>
      <c r="D472" s="947"/>
      <c r="E472" s="948"/>
      <c r="F472" s="949">
        <f>F413</f>
        <v>0</v>
      </c>
    </row>
    <row r="473" spans="1:6" ht="36.75" customHeight="1">
      <c r="A473" s="915" t="s">
        <v>1521</v>
      </c>
      <c r="B473" s="916" t="s">
        <v>1522</v>
      </c>
      <c r="C473" s="947"/>
      <c r="D473" s="947"/>
      <c r="E473" s="948"/>
      <c r="F473" s="949">
        <f>F433</f>
        <v>0</v>
      </c>
    </row>
    <row r="474" spans="1:6" ht="24" customHeight="1">
      <c r="A474" s="915" t="s">
        <v>1531</v>
      </c>
      <c r="B474" s="916" t="s">
        <v>1532</v>
      </c>
      <c r="C474" s="947"/>
      <c r="D474" s="947"/>
      <c r="E474" s="948"/>
      <c r="F474" s="949">
        <f>F462</f>
        <v>0</v>
      </c>
    </row>
    <row r="475" spans="1:6">
      <c r="A475" s="782"/>
      <c r="B475" s="726"/>
      <c r="C475" s="784"/>
      <c r="D475" s="784"/>
      <c r="E475" s="785"/>
      <c r="F475" s="785"/>
    </row>
    <row r="476" spans="1:6" ht="15.75">
      <c r="A476" s="954"/>
      <c r="B476" s="726"/>
      <c r="C476" s="766"/>
      <c r="D476" s="766"/>
      <c r="E476" s="785"/>
      <c r="F476" s="785"/>
    </row>
    <row r="477" spans="1:6" ht="15.75">
      <c r="A477" s="845"/>
      <c r="B477" s="726"/>
      <c r="C477" s="766"/>
      <c r="D477" s="766"/>
      <c r="E477" s="955" t="s">
        <v>15</v>
      </c>
      <c r="F477" s="836">
        <f>SUM(F467:F474)</f>
        <v>0</v>
      </c>
    </row>
    <row r="478" spans="1:6" ht="15.75">
      <c r="A478" s="845"/>
      <c r="B478" s="741"/>
      <c r="C478" s="766"/>
      <c r="D478" s="956"/>
      <c r="E478" s="957" t="s">
        <v>1547</v>
      </c>
      <c r="F478" s="958">
        <f>F477*0.25</f>
        <v>0</v>
      </c>
    </row>
    <row r="479" spans="1:6" ht="31.5">
      <c r="A479" s="845"/>
      <c r="B479" s="726"/>
      <c r="C479" s="766"/>
      <c r="D479" s="956"/>
      <c r="E479" s="957" t="s">
        <v>299</v>
      </c>
      <c r="F479" s="958">
        <f>F478+F477</f>
        <v>0</v>
      </c>
    </row>
    <row r="480" spans="1:6" ht="15.75">
      <c r="A480" s="845"/>
      <c r="B480" s="741"/>
      <c r="C480" s="766"/>
      <c r="D480" s="843"/>
      <c r="E480" s="785"/>
      <c r="F480" s="959"/>
    </row>
    <row r="481" spans="1:6" ht="15.75">
      <c r="A481" s="845"/>
      <c r="B481" s="741"/>
      <c r="C481" s="766"/>
      <c r="D481" s="843"/>
      <c r="E481" s="785"/>
      <c r="F481" s="959"/>
    </row>
    <row r="482" spans="1:6" ht="15.75">
      <c r="A482" s="845"/>
      <c r="B482" s="741"/>
      <c r="C482" s="766"/>
      <c r="D482" s="843"/>
      <c r="E482" s="785"/>
      <c r="F482" s="959"/>
    </row>
    <row r="483" spans="1:6">
      <c r="A483" s="782"/>
      <c r="B483" s="726" t="s">
        <v>1548</v>
      </c>
      <c r="C483" s="784"/>
      <c r="D483" s="784"/>
      <c r="E483" s="785"/>
      <c r="F483" s="785"/>
    </row>
    <row r="484" spans="1:6" ht="15.75">
      <c r="A484" s="845"/>
      <c r="B484" s="741"/>
      <c r="C484" s="766"/>
      <c r="D484" s="843"/>
      <c r="E484" s="785"/>
      <c r="F484" s="959"/>
    </row>
    <row r="485" spans="1:6" ht="15.75">
      <c r="A485" s="845"/>
      <c r="B485" s="741"/>
      <c r="C485" s="766"/>
      <c r="D485" s="843"/>
      <c r="E485" s="785"/>
      <c r="F485" s="959"/>
    </row>
    <row r="486" spans="1:6">
      <c r="A486" s="782"/>
      <c r="B486" s="726"/>
      <c r="C486" s="784"/>
      <c r="D486" s="784"/>
      <c r="E486" s="785"/>
      <c r="F486" s="850"/>
    </row>
    <row r="487" spans="1:6">
      <c r="A487" s="782"/>
      <c r="B487" s="726"/>
      <c r="C487" s="784"/>
      <c r="D487" s="784"/>
      <c r="E487" s="785"/>
      <c r="F487" s="850"/>
    </row>
    <row r="488" spans="1:6">
      <c r="A488" s="782"/>
      <c r="B488" s="726"/>
      <c r="C488" s="784"/>
      <c r="D488" s="784"/>
      <c r="E488" s="785"/>
      <c r="F488" s="850"/>
    </row>
    <row r="489" spans="1:6">
      <c r="A489" s="782"/>
      <c r="B489" s="726"/>
      <c r="C489" s="784"/>
      <c r="D489" s="784"/>
      <c r="E489" s="785"/>
      <c r="F489" s="850"/>
    </row>
    <row r="490" spans="1:6">
      <c r="A490" s="782"/>
      <c r="B490" s="726"/>
      <c r="C490" s="784"/>
      <c r="D490" s="784"/>
      <c r="E490" s="785"/>
      <c r="F490" s="850"/>
    </row>
    <row r="491" spans="1:6" ht="26.25">
      <c r="A491" s="782"/>
      <c r="B491" s="726"/>
      <c r="C491" s="960" t="s">
        <v>1549</v>
      </c>
      <c r="D491" s="784"/>
      <c r="E491" s="785"/>
      <c r="F491" s="850"/>
    </row>
    <row r="492" spans="1:6">
      <c r="A492" s="782"/>
      <c r="B492" s="726"/>
      <c r="C492" s="766"/>
      <c r="D492" s="784"/>
      <c r="E492" s="785"/>
      <c r="F492" s="785"/>
    </row>
    <row r="493" spans="1:6" ht="39">
      <c r="A493" s="782"/>
      <c r="B493" s="726"/>
      <c r="C493" s="961" t="s">
        <v>1550</v>
      </c>
      <c r="D493" s="784"/>
      <c r="E493" s="785"/>
      <c r="F493" s="850"/>
    </row>
    <row r="494" spans="1:6">
      <c r="A494" s="782"/>
      <c r="B494" s="726"/>
      <c r="C494" s="784"/>
      <c r="D494" s="784"/>
      <c r="E494" s="785"/>
      <c r="F494" s="850"/>
    </row>
    <row r="495" spans="1:6">
      <c r="A495" s="782"/>
      <c r="B495" s="726"/>
      <c r="C495" s="784"/>
      <c r="D495" s="784"/>
      <c r="E495" s="785"/>
      <c r="F495" s="850"/>
    </row>
    <row r="496" spans="1:6">
      <c r="A496" s="782"/>
      <c r="B496" s="726"/>
      <c r="C496" s="784"/>
      <c r="D496" s="784"/>
      <c r="E496" s="785"/>
      <c r="F496" s="785"/>
    </row>
    <row r="497" spans="1:6">
      <c r="A497" s="782"/>
      <c r="B497" s="726"/>
      <c r="C497" s="784"/>
      <c r="D497" s="784"/>
      <c r="E497" s="785"/>
      <c r="F497" s="850"/>
    </row>
    <row r="498" spans="1:6">
      <c r="A498" s="962"/>
      <c r="B498" s="726"/>
      <c r="C498" s="784"/>
      <c r="D498" s="784"/>
      <c r="E498" s="785"/>
      <c r="F498" s="785"/>
    </row>
    <row r="499" spans="1:6">
      <c r="A499" s="782"/>
      <c r="B499" s="726"/>
      <c r="C499" s="784"/>
      <c r="D499" s="784"/>
      <c r="E499" s="785"/>
      <c r="F499" s="785"/>
    </row>
    <row r="500" spans="1:6">
      <c r="A500" s="782"/>
      <c r="B500" s="726"/>
      <c r="C500" s="784"/>
      <c r="D500" s="784"/>
      <c r="E500" s="785"/>
      <c r="F500" s="785"/>
    </row>
    <row r="501" spans="1:6">
      <c r="A501" s="962"/>
      <c r="B501" s="726"/>
      <c r="C501" s="784"/>
      <c r="D501" s="784"/>
      <c r="E501" s="785"/>
      <c r="F501" s="785"/>
    </row>
    <row r="502" spans="1:6">
      <c r="A502" s="782"/>
      <c r="B502" s="726"/>
      <c r="C502" s="784"/>
      <c r="D502" s="784"/>
      <c r="E502" s="785"/>
      <c r="F502" s="785"/>
    </row>
    <row r="503" spans="1:6">
      <c r="A503" s="782"/>
      <c r="B503" s="726"/>
      <c r="C503" s="784"/>
      <c r="D503" s="784"/>
      <c r="E503" s="785"/>
      <c r="F503" s="785"/>
    </row>
    <row r="504" spans="1:6">
      <c r="A504" s="782"/>
      <c r="B504" s="726"/>
      <c r="C504" s="784"/>
      <c r="D504" s="784"/>
      <c r="E504" s="785"/>
      <c r="F504" s="785"/>
    </row>
    <row r="505" spans="1:6">
      <c r="A505" s="782"/>
      <c r="B505" s="726"/>
      <c r="C505" s="784"/>
      <c r="D505" s="784"/>
      <c r="E505" s="785"/>
      <c r="F505" s="785"/>
    </row>
    <row r="506" spans="1:6">
      <c r="A506" s="782"/>
      <c r="B506" s="726"/>
      <c r="C506" s="784"/>
      <c r="D506" s="784"/>
      <c r="E506" s="785"/>
      <c r="F506" s="785"/>
    </row>
    <row r="507" spans="1:6">
      <c r="A507" s="782"/>
      <c r="B507" s="726"/>
      <c r="C507" s="784"/>
      <c r="D507" s="784"/>
      <c r="E507" s="785"/>
      <c r="F507" s="785"/>
    </row>
    <row r="508" spans="1:6">
      <c r="A508" s="782"/>
      <c r="B508" s="726"/>
      <c r="C508" s="784"/>
      <c r="D508" s="784"/>
      <c r="E508" s="785"/>
      <c r="F508" s="785"/>
    </row>
    <row r="509" spans="1:6">
      <c r="A509" s="845"/>
      <c r="B509" s="726"/>
      <c r="C509" s="843"/>
      <c r="D509" s="843"/>
      <c r="E509" s="848"/>
      <c r="F509" s="849"/>
    </row>
  </sheetData>
  <mergeCells count="4">
    <mergeCell ref="A1:F1"/>
    <mergeCell ref="A2:F2"/>
    <mergeCell ref="B6:F6"/>
    <mergeCell ref="B7:F7"/>
  </mergeCells>
  <pageMargins left="0.7" right="0.7" top="0.75" bottom="0.75" header="0.3" footer="0.3"/>
  <pageSetup paperSize="9" scale="91" fitToHeight="0" orientation="portrait" r:id="rId1"/>
  <rowBreaks count="11" manualBreakCount="11">
    <brk id="108" max="16383" man="1"/>
    <brk id="130" max="5" man="1"/>
    <brk id="208" max="16383" man="1"/>
    <brk id="244" max="5" man="1"/>
    <brk id="267" max="16383" man="1"/>
    <brk id="279" max="16383" man="1"/>
    <brk id="300" max="16383" man="1"/>
    <brk id="416" max="16383" man="1"/>
    <brk id="441" max="5" man="1"/>
    <brk id="447" max="16383" man="1"/>
    <brk id="462"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2"/>
  <sheetViews>
    <sheetView view="pageBreakPreview" topLeftCell="A557" zoomScale="115" zoomScaleNormal="100" zoomScaleSheetLayoutView="115" workbookViewId="0">
      <selection activeCell="F536" sqref="F536"/>
    </sheetView>
  </sheetViews>
  <sheetFormatPr defaultRowHeight="15"/>
  <cols>
    <col min="2" max="2" width="26.85546875" customWidth="1"/>
    <col min="3" max="3" width="11.5703125" customWidth="1"/>
    <col min="5" max="5" width="13.42578125" customWidth="1"/>
    <col min="6" max="6" width="16.140625" customWidth="1"/>
  </cols>
  <sheetData>
    <row r="1" spans="1:6">
      <c r="A1" s="571" t="s">
        <v>803</v>
      </c>
      <c r="B1" s="571" t="s">
        <v>804</v>
      </c>
      <c r="C1" s="571" t="s">
        <v>805</v>
      </c>
      <c r="D1" s="571" t="s">
        <v>806</v>
      </c>
      <c r="E1" s="571" t="s">
        <v>807</v>
      </c>
      <c r="F1" s="571" t="s">
        <v>808</v>
      </c>
    </row>
    <row r="2" spans="1:6">
      <c r="A2" s="572"/>
      <c r="B2" s="573"/>
      <c r="C2" s="574"/>
      <c r="D2" s="574"/>
      <c r="E2" s="574"/>
      <c r="F2" s="574"/>
    </row>
    <row r="3" spans="1:6">
      <c r="A3" s="575" t="s">
        <v>809</v>
      </c>
      <c r="B3" s="186"/>
      <c r="C3" s="576"/>
      <c r="D3" s="576"/>
      <c r="E3" s="576"/>
      <c r="F3" s="576"/>
    </row>
    <row r="4" spans="1:6" ht="88.5" customHeight="1">
      <c r="A4" s="572" t="s">
        <v>261</v>
      </c>
      <c r="B4" s="577" t="s">
        <v>810</v>
      </c>
      <c r="C4" s="574"/>
      <c r="D4" s="574"/>
      <c r="E4" s="574"/>
      <c r="F4" s="574"/>
    </row>
    <row r="5" spans="1:6" ht="92.25" customHeight="1">
      <c r="A5" s="572"/>
      <c r="B5" s="578" t="s">
        <v>811</v>
      </c>
      <c r="C5" s="574"/>
      <c r="D5" s="574"/>
      <c r="E5" s="574"/>
      <c r="F5" s="574"/>
    </row>
    <row r="6" spans="1:6" ht="118.5" customHeight="1">
      <c r="A6" s="572"/>
      <c r="B6" s="579" t="s">
        <v>812</v>
      </c>
      <c r="C6" s="574"/>
      <c r="D6" s="574"/>
      <c r="E6" s="574"/>
      <c r="F6" s="574"/>
    </row>
    <row r="7" spans="1:6" ht="242.25" customHeight="1">
      <c r="A7" s="572"/>
      <c r="B7" s="579" t="s">
        <v>813</v>
      </c>
      <c r="C7" s="574"/>
      <c r="D7" s="574"/>
      <c r="E7" s="574"/>
      <c r="F7" s="574"/>
    </row>
    <row r="8" spans="1:6" ht="167.25" customHeight="1">
      <c r="A8" s="572"/>
      <c r="B8" s="578" t="s">
        <v>814</v>
      </c>
      <c r="C8" s="574"/>
      <c r="D8" s="574"/>
      <c r="E8" s="574"/>
      <c r="F8" s="574"/>
    </row>
    <row r="9" spans="1:6" ht="165">
      <c r="A9" s="572"/>
      <c r="B9" s="578" t="s">
        <v>815</v>
      </c>
      <c r="C9" s="574"/>
      <c r="D9" s="574"/>
      <c r="E9" s="574"/>
      <c r="F9" s="574"/>
    </row>
    <row r="10" spans="1:6" ht="60" customHeight="1">
      <c r="A10" s="572"/>
      <c r="B10" s="578" t="s">
        <v>816</v>
      </c>
      <c r="C10" s="574"/>
      <c r="D10" s="574"/>
      <c r="E10" s="574"/>
      <c r="F10" s="574"/>
    </row>
    <row r="11" spans="1:6" ht="74.25" customHeight="1">
      <c r="A11" s="572"/>
      <c r="B11" s="578" t="s">
        <v>817</v>
      </c>
      <c r="C11" s="574"/>
      <c r="D11" s="574"/>
      <c r="E11" s="574"/>
      <c r="F11" s="574"/>
    </row>
    <row r="12" spans="1:6" ht="89.25" customHeight="1">
      <c r="A12" s="572"/>
      <c r="B12" s="578" t="s">
        <v>818</v>
      </c>
      <c r="C12" s="574"/>
      <c r="D12" s="574"/>
      <c r="E12" s="574"/>
      <c r="F12" s="574"/>
    </row>
    <row r="13" spans="1:6" ht="92.25" customHeight="1">
      <c r="A13" s="572"/>
      <c r="B13" s="578" t="s">
        <v>819</v>
      </c>
      <c r="C13" s="574"/>
      <c r="D13" s="574"/>
      <c r="E13" s="574"/>
      <c r="F13" s="574"/>
    </row>
    <row r="14" spans="1:6">
      <c r="A14" s="575" t="s">
        <v>809</v>
      </c>
      <c r="B14" s="186"/>
      <c r="C14" s="576"/>
      <c r="D14" s="576"/>
      <c r="E14" s="576"/>
      <c r="F14" s="576"/>
    </row>
    <row r="15" spans="1:6" ht="43.5" customHeight="1">
      <c r="A15" s="572" t="s">
        <v>19</v>
      </c>
      <c r="B15" s="580" t="s">
        <v>820</v>
      </c>
      <c r="C15" s="574"/>
      <c r="D15" s="574"/>
      <c r="E15" s="574"/>
      <c r="F15" s="574"/>
    </row>
    <row r="16" spans="1:6" ht="30" customHeight="1">
      <c r="A16" s="572"/>
      <c r="B16" s="578" t="s">
        <v>821</v>
      </c>
      <c r="C16" s="574"/>
      <c r="D16" s="574"/>
      <c r="E16" s="574"/>
      <c r="F16" s="574"/>
    </row>
    <row r="17" spans="1:6" ht="30.75" customHeight="1">
      <c r="A17" s="572"/>
      <c r="B17" s="578" t="s">
        <v>822</v>
      </c>
      <c r="C17" s="574"/>
      <c r="D17" s="574"/>
      <c r="E17" s="574"/>
      <c r="F17" s="574"/>
    </row>
    <row r="18" spans="1:6" ht="105.75" customHeight="1">
      <c r="A18" s="572"/>
      <c r="B18" s="578" t="s">
        <v>823</v>
      </c>
      <c r="C18" s="574"/>
      <c r="D18" s="574"/>
      <c r="E18" s="574"/>
      <c r="F18" s="574"/>
    </row>
    <row r="19" spans="1:6" ht="17.25" customHeight="1">
      <c r="A19" s="572"/>
      <c r="B19" s="578" t="s">
        <v>824</v>
      </c>
      <c r="C19" s="574"/>
      <c r="D19" s="574"/>
      <c r="E19" s="574"/>
      <c r="F19" s="574"/>
    </row>
    <row r="20" spans="1:6" ht="21" customHeight="1">
      <c r="A20" s="572"/>
      <c r="B20" s="578" t="s">
        <v>825</v>
      </c>
      <c r="C20" s="574"/>
      <c r="D20" s="574"/>
      <c r="E20" s="574"/>
      <c r="F20" s="574"/>
    </row>
    <row r="21" spans="1:6" ht="19.5" customHeight="1">
      <c r="A21" s="572"/>
      <c r="B21" s="578" t="s">
        <v>826</v>
      </c>
      <c r="C21" s="574"/>
      <c r="D21" s="574"/>
      <c r="E21" s="574"/>
      <c r="F21" s="574"/>
    </row>
    <row r="22" spans="1:6">
      <c r="A22" s="572"/>
      <c r="B22" s="578" t="s">
        <v>827</v>
      </c>
      <c r="C22" s="574"/>
      <c r="D22" s="574"/>
      <c r="E22" s="574"/>
      <c r="F22" s="574"/>
    </row>
    <row r="23" spans="1:6" ht="92.25" customHeight="1">
      <c r="A23" s="572"/>
      <c r="B23" s="578" t="s">
        <v>828</v>
      </c>
      <c r="C23" s="574"/>
      <c r="D23" s="574"/>
      <c r="E23" s="574"/>
      <c r="F23" s="574"/>
    </row>
    <row r="24" spans="1:6">
      <c r="A24" s="572"/>
      <c r="B24" s="578" t="s">
        <v>829</v>
      </c>
      <c r="C24" s="574"/>
      <c r="D24" s="574"/>
      <c r="E24" s="574"/>
      <c r="F24" s="574"/>
    </row>
    <row r="25" spans="1:6" ht="17.25" customHeight="1">
      <c r="A25" s="572"/>
      <c r="B25" s="578" t="s">
        <v>830</v>
      </c>
      <c r="C25" s="574"/>
      <c r="D25" s="574"/>
      <c r="E25" s="574"/>
      <c r="F25" s="574"/>
    </row>
    <row r="26" spans="1:6" ht="19.5" customHeight="1">
      <c r="A26" s="572"/>
      <c r="B26" s="578" t="s">
        <v>831</v>
      </c>
      <c r="C26" s="574"/>
      <c r="D26" s="574"/>
      <c r="E26" s="574"/>
      <c r="F26" s="574"/>
    </row>
    <row r="27" spans="1:6" ht="89.25" customHeight="1">
      <c r="A27" s="572"/>
      <c r="B27" s="578" t="s">
        <v>832</v>
      </c>
      <c r="C27" s="574"/>
      <c r="D27" s="574"/>
      <c r="E27" s="574"/>
      <c r="F27" s="574"/>
    </row>
    <row r="28" spans="1:6">
      <c r="A28" s="572"/>
      <c r="B28" s="578" t="s">
        <v>833</v>
      </c>
      <c r="C28" s="574"/>
      <c r="D28" s="574"/>
      <c r="E28" s="574"/>
      <c r="F28" s="574"/>
    </row>
    <row r="29" spans="1:6">
      <c r="A29" s="572"/>
      <c r="B29" s="578" t="s">
        <v>834</v>
      </c>
      <c r="C29" s="574"/>
      <c r="D29" s="574"/>
      <c r="E29" s="574"/>
      <c r="F29" s="574"/>
    </row>
    <row r="30" spans="1:6" ht="18" customHeight="1">
      <c r="A30" s="572"/>
      <c r="B30" s="578" t="s">
        <v>835</v>
      </c>
      <c r="C30" s="574"/>
      <c r="D30" s="574"/>
      <c r="E30" s="574"/>
      <c r="F30" s="574"/>
    </row>
    <row r="31" spans="1:6" ht="106.5" customHeight="1">
      <c r="A31" s="572"/>
      <c r="B31" s="578" t="s">
        <v>836</v>
      </c>
      <c r="C31" s="574"/>
      <c r="D31" s="574"/>
      <c r="E31" s="574"/>
      <c r="F31" s="574"/>
    </row>
    <row r="32" spans="1:6">
      <c r="A32" s="572"/>
      <c r="B32" s="578" t="s">
        <v>837</v>
      </c>
      <c r="C32" s="574"/>
      <c r="D32" s="574"/>
      <c r="E32" s="574"/>
      <c r="F32" s="574"/>
    </row>
    <row r="33" spans="1:6" ht="14.25" customHeight="1">
      <c r="A33" s="572"/>
      <c r="B33" s="578" t="s">
        <v>838</v>
      </c>
      <c r="C33" s="574"/>
      <c r="D33" s="574"/>
      <c r="E33" s="574"/>
      <c r="F33" s="574"/>
    </row>
    <row r="34" spans="1:6" ht="17.25" customHeight="1">
      <c r="A34" s="572"/>
      <c r="B34" s="578" t="s">
        <v>839</v>
      </c>
      <c r="C34" s="574"/>
      <c r="D34" s="574"/>
      <c r="E34" s="574"/>
      <c r="F34" s="574"/>
    </row>
    <row r="35" spans="1:6">
      <c r="A35" s="572"/>
      <c r="B35" s="578" t="s">
        <v>840</v>
      </c>
      <c r="C35" s="574"/>
      <c r="D35" s="574"/>
      <c r="E35" s="574"/>
      <c r="F35" s="574"/>
    </row>
    <row r="36" spans="1:6">
      <c r="A36" s="572"/>
      <c r="B36" s="578" t="s">
        <v>841</v>
      </c>
      <c r="C36" s="574"/>
      <c r="D36" s="574"/>
      <c r="E36" s="574"/>
      <c r="F36" s="574"/>
    </row>
    <row r="37" spans="1:6" ht="17.25" customHeight="1">
      <c r="A37" s="572"/>
      <c r="B37" s="578" t="s">
        <v>842</v>
      </c>
      <c r="C37" s="574"/>
      <c r="D37" s="574"/>
      <c r="E37" s="574"/>
      <c r="F37" s="574"/>
    </row>
    <row r="38" spans="1:6">
      <c r="A38" s="572"/>
      <c r="B38" s="581" t="s">
        <v>843</v>
      </c>
      <c r="C38" s="574"/>
      <c r="D38" s="574"/>
      <c r="E38" s="574"/>
      <c r="F38" s="574"/>
    </row>
    <row r="39" spans="1:6">
      <c r="A39" s="572"/>
      <c r="B39" s="581" t="s">
        <v>844</v>
      </c>
      <c r="C39" s="574"/>
      <c r="D39" s="574"/>
      <c r="E39" s="574"/>
      <c r="F39" s="574"/>
    </row>
    <row r="40" spans="1:6" ht="31.5" customHeight="1">
      <c r="A40" s="572"/>
      <c r="B40" s="578" t="s">
        <v>845</v>
      </c>
      <c r="C40" s="574"/>
      <c r="D40" s="574"/>
      <c r="E40" s="574"/>
      <c r="F40" s="574"/>
    </row>
    <row r="41" spans="1:6" ht="32.25" customHeight="1">
      <c r="A41" s="572"/>
      <c r="B41" s="578" t="s">
        <v>846</v>
      </c>
      <c r="C41" s="574"/>
      <c r="D41" s="574"/>
      <c r="E41" s="574"/>
      <c r="F41" s="574"/>
    </row>
    <row r="42" spans="1:6" ht="18.75" customHeight="1">
      <c r="A42" s="572"/>
      <c r="B42" s="578" t="s">
        <v>847</v>
      </c>
      <c r="C42" s="574"/>
      <c r="D42" s="574"/>
      <c r="E42" s="574"/>
      <c r="F42" s="574"/>
    </row>
    <row r="43" spans="1:6" ht="32.25" customHeight="1">
      <c r="A43" s="572"/>
      <c r="B43" s="578" t="s">
        <v>848</v>
      </c>
      <c r="C43" s="574"/>
      <c r="D43" s="574"/>
      <c r="E43" s="574"/>
      <c r="F43" s="574"/>
    </row>
    <row r="44" spans="1:6">
      <c r="A44" s="572"/>
      <c r="B44" s="578" t="s">
        <v>849</v>
      </c>
      <c r="C44" s="574"/>
      <c r="D44" s="574"/>
      <c r="E44" s="574"/>
      <c r="F44" s="574"/>
    </row>
    <row r="45" spans="1:6" ht="19.5" customHeight="1">
      <c r="A45" s="572"/>
      <c r="B45" s="578" t="s">
        <v>850</v>
      </c>
      <c r="C45" s="574"/>
      <c r="D45" s="574"/>
      <c r="E45" s="574"/>
      <c r="F45" s="574"/>
    </row>
    <row r="46" spans="1:6" ht="28.5" customHeight="1">
      <c r="A46" s="572"/>
      <c r="B46" s="578" t="s">
        <v>851</v>
      </c>
      <c r="C46" s="574"/>
      <c r="D46" s="574"/>
      <c r="E46" s="574"/>
      <c r="F46" s="574"/>
    </row>
    <row r="47" spans="1:6" ht="27.75" customHeight="1">
      <c r="A47" s="572"/>
      <c r="B47" s="578" t="s">
        <v>852</v>
      </c>
      <c r="C47" s="574"/>
      <c r="D47" s="574"/>
      <c r="E47" s="574"/>
      <c r="F47" s="574"/>
    </row>
    <row r="48" spans="1:6" ht="17.25" customHeight="1">
      <c r="A48" s="572"/>
      <c r="B48" s="578" t="s">
        <v>853</v>
      </c>
      <c r="C48" s="574" t="s">
        <v>42</v>
      </c>
      <c r="D48" s="574">
        <v>1</v>
      </c>
      <c r="E48" s="582"/>
      <c r="F48" s="582">
        <f>D48*E48</f>
        <v>0</v>
      </c>
    </row>
    <row r="49" spans="1:6">
      <c r="A49" s="575" t="s">
        <v>809</v>
      </c>
      <c r="B49" s="186"/>
      <c r="C49" s="576"/>
      <c r="D49" s="576"/>
      <c r="E49" s="576"/>
      <c r="F49" s="576"/>
    </row>
    <row r="50" spans="1:6" ht="19.5" customHeight="1">
      <c r="A50" s="572"/>
      <c r="B50" s="583" t="s">
        <v>854</v>
      </c>
      <c r="C50" s="574"/>
      <c r="D50" s="574"/>
      <c r="E50" s="574"/>
      <c r="F50" s="574"/>
    </row>
    <row r="51" spans="1:6" ht="207.75" customHeight="1">
      <c r="A51" s="572"/>
      <c r="B51" s="579" t="s">
        <v>855</v>
      </c>
      <c r="C51" s="574"/>
      <c r="D51" s="574"/>
      <c r="E51" s="574"/>
      <c r="F51" s="574"/>
    </row>
    <row r="52" spans="1:6">
      <c r="A52" s="572" t="s">
        <v>809</v>
      </c>
      <c r="B52" s="584"/>
      <c r="C52" s="574"/>
      <c r="D52" s="574"/>
      <c r="E52" s="574"/>
      <c r="F52" s="574"/>
    </row>
    <row r="53" spans="1:6" ht="34.5" customHeight="1">
      <c r="A53" s="572" t="s">
        <v>20</v>
      </c>
      <c r="B53" s="580" t="s">
        <v>856</v>
      </c>
      <c r="C53" s="574"/>
      <c r="D53" s="574"/>
      <c r="E53" s="574"/>
      <c r="F53" s="574"/>
    </row>
    <row r="54" spans="1:6" ht="32.25" customHeight="1">
      <c r="A54" s="572"/>
      <c r="B54" s="578" t="s">
        <v>821</v>
      </c>
      <c r="C54" s="574"/>
      <c r="D54" s="574"/>
      <c r="E54" s="574"/>
      <c r="F54" s="574"/>
    </row>
    <row r="55" spans="1:6" ht="32.25" customHeight="1">
      <c r="A55" s="572"/>
      <c r="B55" s="578" t="s">
        <v>857</v>
      </c>
      <c r="C55" s="574"/>
      <c r="D55" s="574"/>
      <c r="E55" s="574"/>
      <c r="F55" s="574"/>
    </row>
    <row r="56" spans="1:6" ht="16.5" customHeight="1">
      <c r="A56" s="572"/>
      <c r="B56" s="578" t="s">
        <v>858</v>
      </c>
      <c r="C56" s="574"/>
      <c r="D56" s="574"/>
      <c r="E56" s="574"/>
      <c r="F56" s="574"/>
    </row>
    <row r="57" spans="1:6" ht="20.25" customHeight="1">
      <c r="A57" s="572"/>
      <c r="B57" s="578" t="s">
        <v>859</v>
      </c>
      <c r="C57" s="574"/>
      <c r="D57" s="574"/>
      <c r="E57" s="574"/>
      <c r="F57" s="574"/>
    </row>
    <row r="58" spans="1:6" ht="17.25" customHeight="1">
      <c r="A58" s="572"/>
      <c r="B58" s="578" t="s">
        <v>860</v>
      </c>
      <c r="C58" s="574"/>
      <c r="D58" s="574"/>
      <c r="E58" s="574"/>
      <c r="F58" s="574"/>
    </row>
    <row r="59" spans="1:6" ht="34.5" customHeight="1">
      <c r="A59" s="572"/>
      <c r="B59" s="578" t="s">
        <v>861</v>
      </c>
      <c r="C59" s="574"/>
      <c r="D59" s="574"/>
      <c r="E59" s="574"/>
      <c r="F59" s="574"/>
    </row>
    <row r="60" spans="1:6" ht="30.75" customHeight="1">
      <c r="A60" s="572"/>
      <c r="B60" s="578" t="s">
        <v>862</v>
      </c>
      <c r="C60" s="574"/>
      <c r="D60" s="574"/>
      <c r="E60" s="574"/>
      <c r="F60" s="574"/>
    </row>
    <row r="61" spans="1:6" ht="30.75" customHeight="1">
      <c r="A61" s="572"/>
      <c r="B61" s="578" t="s">
        <v>863</v>
      </c>
      <c r="C61" s="574"/>
      <c r="D61" s="574"/>
      <c r="E61" s="574"/>
      <c r="F61" s="574"/>
    </row>
    <row r="62" spans="1:6" ht="32.25" customHeight="1">
      <c r="A62" s="572"/>
      <c r="B62" s="578" t="s">
        <v>864</v>
      </c>
      <c r="C62" s="574"/>
      <c r="D62" s="574"/>
      <c r="E62" s="574"/>
      <c r="F62" s="574"/>
    </row>
    <row r="63" spans="1:6" ht="30" customHeight="1">
      <c r="A63" s="572"/>
      <c r="B63" s="578" t="s">
        <v>865</v>
      </c>
      <c r="C63" s="574"/>
      <c r="D63" s="574"/>
      <c r="E63" s="574"/>
      <c r="F63" s="574"/>
    </row>
    <row r="64" spans="1:6" ht="30.75" customHeight="1">
      <c r="A64" s="572"/>
      <c r="B64" s="578" t="s">
        <v>866</v>
      </c>
      <c r="C64" s="574"/>
      <c r="D64" s="574"/>
      <c r="E64" s="574"/>
      <c r="F64" s="574"/>
    </row>
    <row r="65" spans="1:6" ht="17.25" customHeight="1">
      <c r="A65" s="572"/>
      <c r="B65" s="578" t="s">
        <v>867</v>
      </c>
      <c r="C65" s="574"/>
      <c r="D65" s="574"/>
      <c r="E65" s="574"/>
      <c r="F65" s="574"/>
    </row>
    <row r="66" spans="1:6" ht="27" customHeight="1">
      <c r="A66" s="572"/>
      <c r="B66" s="578" t="s">
        <v>868</v>
      </c>
      <c r="C66" s="574"/>
      <c r="D66" s="574"/>
      <c r="E66" s="574"/>
      <c r="F66" s="574"/>
    </row>
    <row r="67" spans="1:6" ht="21" customHeight="1">
      <c r="A67" s="572"/>
      <c r="B67" s="578" t="s">
        <v>869</v>
      </c>
      <c r="C67" s="574"/>
      <c r="D67" s="574"/>
      <c r="E67" s="574"/>
      <c r="F67" s="574"/>
    </row>
    <row r="68" spans="1:6" ht="15" customHeight="1">
      <c r="A68" s="572"/>
      <c r="B68" s="578" t="s">
        <v>850</v>
      </c>
      <c r="C68" s="574"/>
      <c r="D68" s="574"/>
      <c r="E68" s="574"/>
      <c r="F68" s="574"/>
    </row>
    <row r="69" spans="1:6" ht="30" customHeight="1">
      <c r="A69" s="572"/>
      <c r="B69" s="578" t="s">
        <v>870</v>
      </c>
      <c r="C69" s="574"/>
      <c r="D69" s="574"/>
      <c r="E69" s="574"/>
      <c r="F69" s="574"/>
    </row>
    <row r="70" spans="1:6" ht="27.75" customHeight="1">
      <c r="A70" s="572"/>
      <c r="B70" s="578" t="s">
        <v>871</v>
      </c>
      <c r="C70" s="574"/>
      <c r="D70" s="574"/>
      <c r="E70" s="574"/>
      <c r="F70" s="574"/>
    </row>
    <row r="71" spans="1:6" ht="18.75" customHeight="1">
      <c r="A71" s="572"/>
      <c r="B71" s="578" t="s">
        <v>872</v>
      </c>
      <c r="C71" s="574" t="s">
        <v>42</v>
      </c>
      <c r="D71" s="574">
        <v>9</v>
      </c>
      <c r="E71" s="582"/>
      <c r="F71" s="582">
        <f>D71*E71</f>
        <v>0</v>
      </c>
    </row>
    <row r="72" spans="1:6">
      <c r="A72" s="575" t="s">
        <v>809</v>
      </c>
      <c r="B72" s="186"/>
      <c r="C72" s="576"/>
      <c r="D72" s="576"/>
      <c r="E72" s="576"/>
      <c r="F72" s="576"/>
    </row>
    <row r="73" spans="1:6" ht="31.5" customHeight="1">
      <c r="A73" s="572" t="s">
        <v>27</v>
      </c>
      <c r="B73" s="585" t="s">
        <v>873</v>
      </c>
      <c r="C73" s="574"/>
      <c r="D73" s="574"/>
      <c r="E73" s="574"/>
      <c r="F73" s="574"/>
    </row>
    <row r="74" spans="1:6" ht="32.25" customHeight="1">
      <c r="A74" s="572"/>
      <c r="B74" s="578" t="s">
        <v>821</v>
      </c>
      <c r="C74" s="574"/>
      <c r="D74" s="574"/>
      <c r="E74" s="574"/>
      <c r="F74" s="574"/>
    </row>
    <row r="75" spans="1:6" ht="27.75" customHeight="1">
      <c r="A75" s="572"/>
      <c r="B75" s="578" t="s">
        <v>874</v>
      </c>
      <c r="C75" s="574"/>
      <c r="D75" s="574"/>
      <c r="E75" s="574"/>
      <c r="F75" s="574"/>
    </row>
    <row r="76" spans="1:6" ht="17.25" customHeight="1">
      <c r="A76" s="572"/>
      <c r="B76" s="578" t="s">
        <v>875</v>
      </c>
      <c r="C76" s="574"/>
      <c r="D76" s="574"/>
      <c r="E76" s="574"/>
      <c r="F76" s="574"/>
    </row>
    <row r="77" spans="1:6" ht="15" customHeight="1">
      <c r="A77" s="572"/>
      <c r="B77" s="578" t="s">
        <v>876</v>
      </c>
      <c r="C77" s="574"/>
      <c r="D77" s="574"/>
      <c r="E77" s="574"/>
      <c r="F77" s="574"/>
    </row>
    <row r="78" spans="1:6" ht="16.5" customHeight="1">
      <c r="A78" s="572"/>
      <c r="B78" s="578" t="s">
        <v>860</v>
      </c>
      <c r="C78" s="574"/>
      <c r="D78" s="574"/>
      <c r="E78" s="574"/>
      <c r="F78" s="574"/>
    </row>
    <row r="79" spans="1:6" ht="30" customHeight="1">
      <c r="A79" s="572"/>
      <c r="B79" s="578" t="s">
        <v>877</v>
      </c>
      <c r="C79" s="574"/>
      <c r="D79" s="574"/>
      <c r="E79" s="574"/>
      <c r="F79" s="574"/>
    </row>
    <row r="80" spans="1:6" ht="30.75" customHeight="1">
      <c r="A80" s="572"/>
      <c r="B80" s="578" t="s">
        <v>878</v>
      </c>
      <c r="C80" s="574"/>
      <c r="D80" s="574"/>
      <c r="E80" s="574"/>
      <c r="F80" s="574"/>
    </row>
    <row r="81" spans="1:6" ht="27.75" customHeight="1">
      <c r="A81" s="572"/>
      <c r="B81" s="578" t="s">
        <v>879</v>
      </c>
      <c r="C81" s="574"/>
      <c r="D81" s="574"/>
      <c r="E81" s="574"/>
      <c r="F81" s="574"/>
    </row>
    <row r="82" spans="1:6" ht="30" customHeight="1">
      <c r="A82" s="572"/>
      <c r="B82" s="578" t="s">
        <v>880</v>
      </c>
      <c r="C82" s="574"/>
      <c r="D82" s="574"/>
      <c r="E82" s="574"/>
      <c r="F82" s="574"/>
    </row>
    <row r="83" spans="1:6" ht="27.75" customHeight="1">
      <c r="A83" s="572"/>
      <c r="B83" s="578" t="s">
        <v>881</v>
      </c>
      <c r="C83" s="574"/>
      <c r="D83" s="574"/>
      <c r="E83" s="574"/>
      <c r="F83" s="574"/>
    </row>
    <row r="84" spans="1:6" ht="29.25" customHeight="1">
      <c r="A84" s="572"/>
      <c r="B84" s="578" t="s">
        <v>866</v>
      </c>
      <c r="C84" s="574"/>
      <c r="D84" s="574"/>
      <c r="E84" s="574"/>
      <c r="F84" s="574"/>
    </row>
    <row r="85" spans="1:6">
      <c r="A85" s="572"/>
      <c r="B85" s="578" t="s">
        <v>867</v>
      </c>
      <c r="C85" s="574"/>
      <c r="D85" s="574"/>
      <c r="E85" s="574"/>
      <c r="F85" s="574"/>
    </row>
    <row r="86" spans="1:6" ht="30.75" customHeight="1">
      <c r="A86" s="572"/>
      <c r="B86" s="578" t="s">
        <v>882</v>
      </c>
      <c r="C86" s="574"/>
      <c r="D86" s="574"/>
      <c r="E86" s="574"/>
      <c r="F86" s="574"/>
    </row>
    <row r="87" spans="1:6" ht="12.75" customHeight="1">
      <c r="A87" s="572"/>
      <c r="B87" s="578" t="s">
        <v>883</v>
      </c>
      <c r="C87" s="574"/>
      <c r="D87" s="574"/>
      <c r="E87" s="574"/>
      <c r="F87" s="574"/>
    </row>
    <row r="88" spans="1:6" ht="15" customHeight="1">
      <c r="A88" s="572"/>
      <c r="B88" s="578" t="s">
        <v>850</v>
      </c>
      <c r="C88" s="574"/>
      <c r="D88" s="574"/>
      <c r="E88" s="574"/>
      <c r="F88" s="574"/>
    </row>
    <row r="89" spans="1:6" ht="30.75" customHeight="1">
      <c r="A89" s="572"/>
      <c r="B89" s="578" t="s">
        <v>870</v>
      </c>
      <c r="C89" s="574"/>
      <c r="D89" s="574"/>
      <c r="E89" s="574"/>
      <c r="F89" s="574"/>
    </row>
    <row r="90" spans="1:6" ht="31.5" customHeight="1">
      <c r="A90" s="572"/>
      <c r="B90" s="578" t="s">
        <v>884</v>
      </c>
      <c r="C90" s="574"/>
      <c r="D90" s="574"/>
      <c r="E90" s="574"/>
      <c r="F90" s="574"/>
    </row>
    <row r="91" spans="1:6" ht="17.25" customHeight="1">
      <c r="A91" s="572"/>
      <c r="B91" s="578" t="s">
        <v>872</v>
      </c>
      <c r="C91" s="574" t="s">
        <v>42</v>
      </c>
      <c r="D91" s="574">
        <v>1</v>
      </c>
      <c r="E91" s="582"/>
      <c r="F91" s="582">
        <f>D91*E91</f>
        <v>0</v>
      </c>
    </row>
    <row r="92" spans="1:6">
      <c r="A92" s="575" t="s">
        <v>809</v>
      </c>
      <c r="B92" s="186"/>
      <c r="C92" s="576"/>
      <c r="D92" s="576"/>
      <c r="E92" s="576"/>
      <c r="F92" s="576"/>
    </row>
    <row r="93" spans="1:6" ht="30" customHeight="1">
      <c r="A93" s="572" t="s">
        <v>567</v>
      </c>
      <c r="B93" s="585" t="s">
        <v>885</v>
      </c>
      <c r="C93" s="574"/>
      <c r="D93" s="574"/>
      <c r="E93" s="574"/>
      <c r="F93" s="574"/>
    </row>
    <row r="94" spans="1:6" ht="30.75" customHeight="1">
      <c r="A94" s="572"/>
      <c r="B94" s="578" t="s">
        <v>821</v>
      </c>
      <c r="C94" s="574"/>
      <c r="D94" s="574"/>
      <c r="E94" s="574"/>
      <c r="F94" s="574"/>
    </row>
    <row r="95" spans="1:6" ht="30" customHeight="1">
      <c r="A95" s="572"/>
      <c r="B95" s="578" t="s">
        <v>886</v>
      </c>
      <c r="C95" s="574"/>
      <c r="D95" s="574"/>
      <c r="E95" s="574"/>
      <c r="F95" s="574"/>
    </row>
    <row r="96" spans="1:6" ht="18.75" customHeight="1">
      <c r="A96" s="572"/>
      <c r="B96" s="578" t="s">
        <v>887</v>
      </c>
      <c r="C96" s="574"/>
      <c r="D96" s="574"/>
      <c r="E96" s="574"/>
      <c r="F96" s="574"/>
    </row>
    <row r="97" spans="1:6" ht="19.5" customHeight="1">
      <c r="A97" s="572"/>
      <c r="B97" s="578" t="s">
        <v>888</v>
      </c>
      <c r="C97" s="574"/>
      <c r="D97" s="574"/>
      <c r="E97" s="574"/>
      <c r="F97" s="574"/>
    </row>
    <row r="98" spans="1:6" ht="19.5" customHeight="1">
      <c r="A98" s="572"/>
      <c r="B98" s="578" t="s">
        <v>889</v>
      </c>
      <c r="C98" s="574"/>
      <c r="D98" s="574"/>
      <c r="E98" s="574"/>
      <c r="F98" s="574"/>
    </row>
    <row r="99" spans="1:6" ht="28.5" customHeight="1">
      <c r="A99" s="572"/>
      <c r="B99" s="578" t="s">
        <v>890</v>
      </c>
      <c r="C99" s="574"/>
      <c r="D99" s="574"/>
      <c r="E99" s="574"/>
      <c r="F99" s="574"/>
    </row>
    <row r="100" spans="1:6" ht="29.25" customHeight="1">
      <c r="A100" s="572"/>
      <c r="B100" s="578" t="s">
        <v>891</v>
      </c>
      <c r="C100" s="574"/>
      <c r="D100" s="574"/>
      <c r="E100" s="574"/>
      <c r="F100" s="574"/>
    </row>
    <row r="101" spans="1:6" ht="30.75" customHeight="1">
      <c r="A101" s="572"/>
      <c r="B101" s="578" t="s">
        <v>892</v>
      </c>
      <c r="C101" s="574"/>
      <c r="D101" s="574"/>
      <c r="E101" s="574"/>
      <c r="F101" s="574"/>
    </row>
    <row r="102" spans="1:6" ht="27.75" customHeight="1">
      <c r="A102" s="572"/>
      <c r="B102" s="578" t="s">
        <v>893</v>
      </c>
      <c r="C102" s="574"/>
      <c r="D102" s="574"/>
      <c r="E102" s="574"/>
      <c r="F102" s="574"/>
    </row>
    <row r="103" spans="1:6" ht="27" customHeight="1">
      <c r="A103" s="572"/>
      <c r="B103" s="578" t="s">
        <v>894</v>
      </c>
      <c r="C103" s="574"/>
      <c r="D103" s="574"/>
      <c r="E103" s="574"/>
      <c r="F103" s="574"/>
    </row>
    <row r="104" spans="1:6" ht="30" customHeight="1">
      <c r="A104" s="572"/>
      <c r="B104" s="578" t="s">
        <v>866</v>
      </c>
      <c r="C104" s="574"/>
      <c r="D104" s="574"/>
      <c r="E104" s="574"/>
      <c r="F104" s="574"/>
    </row>
    <row r="105" spans="1:6" ht="19.5" customHeight="1">
      <c r="A105" s="572"/>
      <c r="B105" s="578" t="s">
        <v>895</v>
      </c>
      <c r="C105" s="574"/>
      <c r="D105" s="574"/>
      <c r="E105" s="574"/>
      <c r="F105" s="574"/>
    </row>
    <row r="106" spans="1:6" ht="30" customHeight="1">
      <c r="A106" s="572"/>
      <c r="B106" s="578" t="s">
        <v>868</v>
      </c>
      <c r="C106" s="574"/>
      <c r="D106" s="574"/>
      <c r="E106" s="574"/>
      <c r="F106" s="574"/>
    </row>
    <row r="107" spans="1:6" ht="21" customHeight="1">
      <c r="A107" s="572"/>
      <c r="B107" s="578" t="s">
        <v>869</v>
      </c>
      <c r="C107" s="574"/>
      <c r="D107" s="574"/>
      <c r="E107" s="574"/>
      <c r="F107" s="574"/>
    </row>
    <row r="108" spans="1:6" ht="15" customHeight="1">
      <c r="A108" s="572"/>
      <c r="B108" s="578" t="s">
        <v>850</v>
      </c>
      <c r="C108" s="574"/>
      <c r="D108" s="574"/>
      <c r="E108" s="574"/>
      <c r="F108" s="574"/>
    </row>
    <row r="109" spans="1:6" ht="28.5" customHeight="1">
      <c r="A109" s="572"/>
      <c r="B109" s="578" t="s">
        <v>896</v>
      </c>
      <c r="C109" s="574"/>
      <c r="D109" s="574"/>
      <c r="E109" s="574"/>
      <c r="F109" s="574"/>
    </row>
    <row r="110" spans="1:6" ht="30.75" customHeight="1">
      <c r="A110" s="572"/>
      <c r="B110" s="578" t="s">
        <v>871</v>
      </c>
      <c r="C110" s="574"/>
      <c r="D110" s="574"/>
      <c r="E110" s="574"/>
      <c r="F110" s="574"/>
    </row>
    <row r="111" spans="1:6" ht="17.25" customHeight="1">
      <c r="A111" s="572"/>
      <c r="B111" s="578" t="s">
        <v>872</v>
      </c>
      <c r="C111" s="574" t="s">
        <v>42</v>
      </c>
      <c r="D111" s="574">
        <v>10</v>
      </c>
      <c r="E111" s="582"/>
      <c r="F111" s="582">
        <f>D111*E111</f>
        <v>0</v>
      </c>
    </row>
    <row r="112" spans="1:6">
      <c r="A112" s="575"/>
      <c r="B112" s="186"/>
      <c r="C112" s="576"/>
      <c r="D112" s="576"/>
      <c r="E112" s="576"/>
      <c r="F112" s="576"/>
    </row>
    <row r="113" spans="1:6" ht="22.5" customHeight="1">
      <c r="A113" s="572"/>
      <c r="B113" s="583" t="s">
        <v>897</v>
      </c>
      <c r="C113" s="574"/>
      <c r="D113" s="574"/>
      <c r="E113" s="574"/>
      <c r="F113" s="574"/>
    </row>
    <row r="114" spans="1:6" ht="45.75" customHeight="1">
      <c r="A114" s="572"/>
      <c r="B114" s="579" t="s">
        <v>898</v>
      </c>
      <c r="C114" s="574"/>
      <c r="D114" s="574"/>
      <c r="E114" s="574"/>
      <c r="F114" s="574"/>
    </row>
    <row r="115" spans="1:6">
      <c r="A115" s="572" t="s">
        <v>809</v>
      </c>
      <c r="B115" s="584"/>
      <c r="C115" s="574"/>
      <c r="D115" s="574"/>
      <c r="E115" s="574"/>
      <c r="F115" s="574"/>
    </row>
    <row r="116" spans="1:6" ht="35.25" customHeight="1">
      <c r="A116" s="572" t="s">
        <v>569</v>
      </c>
      <c r="B116" s="580" t="s">
        <v>899</v>
      </c>
      <c r="C116" s="574"/>
      <c r="D116" s="574"/>
      <c r="E116" s="574"/>
      <c r="F116" s="574"/>
    </row>
    <row r="117" spans="1:6" ht="132.75" customHeight="1">
      <c r="A117" s="572"/>
      <c r="B117" s="578" t="s">
        <v>900</v>
      </c>
      <c r="C117" s="574"/>
      <c r="D117" s="574"/>
      <c r="E117" s="574"/>
      <c r="F117" s="574"/>
    </row>
    <row r="118" spans="1:6" ht="165" customHeight="1">
      <c r="A118" s="572"/>
      <c r="B118" s="578" t="s">
        <v>901</v>
      </c>
      <c r="C118" s="574"/>
      <c r="D118" s="574"/>
      <c r="E118" s="574"/>
      <c r="F118" s="574"/>
    </row>
    <row r="119" spans="1:6" ht="120.75" customHeight="1">
      <c r="A119" s="572"/>
      <c r="B119" s="578" t="s">
        <v>902</v>
      </c>
      <c r="C119" s="574"/>
      <c r="D119" s="574"/>
      <c r="E119" s="574"/>
      <c r="F119" s="574"/>
    </row>
    <row r="120" spans="1:6" ht="19.5" customHeight="1">
      <c r="A120" s="572"/>
      <c r="B120" s="578" t="s">
        <v>903</v>
      </c>
      <c r="C120" s="574"/>
      <c r="D120" s="574"/>
      <c r="E120" s="574"/>
      <c r="F120" s="574"/>
    </row>
    <row r="121" spans="1:6" ht="27.75" customHeight="1">
      <c r="A121" s="572"/>
      <c r="B121" s="578" t="s">
        <v>904</v>
      </c>
      <c r="C121" s="574"/>
      <c r="D121" s="574"/>
      <c r="E121" s="574"/>
      <c r="F121" s="574"/>
    </row>
    <row r="122" spans="1:6" ht="17.25" customHeight="1">
      <c r="A122" s="572"/>
      <c r="B122" s="578" t="s">
        <v>905</v>
      </c>
      <c r="C122" s="574"/>
      <c r="D122" s="574"/>
      <c r="E122" s="574"/>
      <c r="F122" s="574"/>
    </row>
    <row r="123" spans="1:6" ht="34.5" customHeight="1">
      <c r="A123" s="572"/>
      <c r="B123" s="578" t="s">
        <v>906</v>
      </c>
      <c r="C123" s="574" t="s">
        <v>42</v>
      </c>
      <c r="D123" s="574">
        <v>1</v>
      </c>
      <c r="E123" s="582"/>
      <c r="F123" s="582">
        <f>D123*E123</f>
        <v>0</v>
      </c>
    </row>
    <row r="124" spans="1:6">
      <c r="A124" s="575" t="s">
        <v>809</v>
      </c>
      <c r="B124" s="186"/>
      <c r="C124" s="576"/>
      <c r="D124" s="576"/>
      <c r="E124" s="576"/>
      <c r="F124" s="576"/>
    </row>
    <row r="125" spans="1:6" ht="18.75" customHeight="1">
      <c r="A125" s="572"/>
      <c r="B125" s="578" t="s">
        <v>907</v>
      </c>
      <c r="C125" s="574"/>
      <c r="D125" s="574"/>
      <c r="E125" s="574"/>
      <c r="F125" s="574"/>
    </row>
    <row r="126" spans="1:6">
      <c r="A126" s="572"/>
      <c r="B126" s="578"/>
      <c r="C126" s="574"/>
      <c r="D126" s="574"/>
      <c r="E126" s="574"/>
      <c r="F126" s="574"/>
    </row>
    <row r="127" spans="1:6" ht="18" customHeight="1">
      <c r="A127" s="572" t="s">
        <v>571</v>
      </c>
      <c r="B127" s="580" t="s">
        <v>908</v>
      </c>
      <c r="C127" s="574"/>
      <c r="D127" s="574"/>
      <c r="E127" s="574"/>
      <c r="F127" s="574"/>
    </row>
    <row r="128" spans="1:6" ht="285.75" customHeight="1">
      <c r="A128" s="572"/>
      <c r="B128" s="578" t="s">
        <v>909</v>
      </c>
      <c r="C128" s="574" t="s">
        <v>42</v>
      </c>
      <c r="D128" s="574">
        <v>12</v>
      </c>
      <c r="E128" s="582"/>
      <c r="F128" s="582">
        <f>D128*E128</f>
        <v>0</v>
      </c>
    </row>
    <row r="129" spans="1:6">
      <c r="A129" s="575" t="s">
        <v>809</v>
      </c>
      <c r="B129" s="186"/>
      <c r="C129" s="576"/>
      <c r="D129" s="576"/>
      <c r="E129" s="576"/>
      <c r="F129" s="576"/>
    </row>
    <row r="130" spans="1:6" ht="27.75" customHeight="1">
      <c r="A130" s="572"/>
      <c r="B130" s="583" t="s">
        <v>910</v>
      </c>
      <c r="C130" s="574"/>
      <c r="D130" s="574"/>
      <c r="E130" s="574"/>
      <c r="F130" s="574"/>
    </row>
    <row r="131" spans="1:6" ht="92.25" customHeight="1">
      <c r="A131" s="572"/>
      <c r="B131" s="579" t="s">
        <v>911</v>
      </c>
      <c r="C131" s="574"/>
      <c r="D131" s="574"/>
      <c r="E131" s="574"/>
      <c r="F131" s="574"/>
    </row>
    <row r="132" spans="1:6">
      <c r="A132" s="572"/>
      <c r="B132" s="578" t="s">
        <v>912</v>
      </c>
      <c r="C132" s="574"/>
      <c r="D132" s="574"/>
      <c r="E132" s="574"/>
      <c r="F132" s="574"/>
    </row>
    <row r="133" spans="1:6">
      <c r="A133" s="572" t="s">
        <v>809</v>
      </c>
      <c r="B133" s="584"/>
      <c r="C133" s="574"/>
      <c r="D133" s="574"/>
      <c r="E133" s="574"/>
      <c r="F133" s="574"/>
    </row>
    <row r="134" spans="1:6" ht="22.5" customHeight="1">
      <c r="A134" s="572" t="s">
        <v>573</v>
      </c>
      <c r="B134" s="580" t="s">
        <v>913</v>
      </c>
      <c r="C134" s="574"/>
      <c r="D134" s="574"/>
      <c r="E134" s="574"/>
      <c r="F134" s="574"/>
    </row>
    <row r="135" spans="1:6" ht="27.75" customHeight="1">
      <c r="A135" s="572"/>
      <c r="B135" s="578" t="s">
        <v>914</v>
      </c>
      <c r="C135" s="574" t="s">
        <v>42</v>
      </c>
      <c r="D135" s="574">
        <v>14</v>
      </c>
      <c r="E135" s="582"/>
      <c r="F135" s="582">
        <f>D135*E135</f>
        <v>0</v>
      </c>
    </row>
    <row r="136" spans="1:6">
      <c r="A136" s="572" t="s">
        <v>809</v>
      </c>
      <c r="B136" s="584"/>
      <c r="C136" s="574"/>
      <c r="D136" s="574"/>
      <c r="E136" s="574"/>
      <c r="F136" s="574"/>
    </row>
    <row r="137" spans="1:6">
      <c r="A137" s="572" t="s">
        <v>809</v>
      </c>
      <c r="B137" s="584"/>
      <c r="C137" s="574"/>
      <c r="D137" s="574"/>
      <c r="E137" s="574"/>
      <c r="F137" s="574"/>
    </row>
    <row r="138" spans="1:6" ht="17.25" customHeight="1">
      <c r="A138" s="572" t="s">
        <v>575</v>
      </c>
      <c r="B138" s="580" t="s">
        <v>915</v>
      </c>
      <c r="C138" s="574"/>
      <c r="D138" s="574"/>
      <c r="E138" s="574"/>
      <c r="F138" s="574"/>
    </row>
    <row r="139" spans="1:6" ht="29.25" customHeight="1">
      <c r="A139" s="572"/>
      <c r="B139" s="578" t="s">
        <v>916</v>
      </c>
      <c r="C139" s="574" t="s">
        <v>42</v>
      </c>
      <c r="D139" s="574">
        <v>4</v>
      </c>
      <c r="E139" s="582"/>
      <c r="F139" s="582">
        <f>D139*E139</f>
        <v>0</v>
      </c>
    </row>
    <row r="140" spans="1:6">
      <c r="A140" s="572" t="s">
        <v>809</v>
      </c>
      <c r="B140" s="584"/>
      <c r="C140" s="574"/>
      <c r="D140" s="574"/>
      <c r="E140" s="574"/>
      <c r="F140" s="574"/>
    </row>
    <row r="141" spans="1:6">
      <c r="A141" s="572" t="s">
        <v>809</v>
      </c>
      <c r="B141" s="584"/>
      <c r="C141" s="574"/>
      <c r="D141" s="574"/>
      <c r="E141" s="574"/>
      <c r="F141" s="574"/>
    </row>
    <row r="142" spans="1:6" ht="18.75" customHeight="1">
      <c r="A142" s="572" t="s">
        <v>577</v>
      </c>
      <c r="B142" s="580" t="s">
        <v>917</v>
      </c>
      <c r="C142" s="574"/>
      <c r="D142" s="574"/>
      <c r="E142" s="574"/>
      <c r="F142" s="574"/>
    </row>
    <row r="143" spans="1:6" ht="30" customHeight="1">
      <c r="A143" s="572"/>
      <c r="B143" s="578" t="s">
        <v>918</v>
      </c>
      <c r="C143" s="574" t="s">
        <v>42</v>
      </c>
      <c r="D143" s="574">
        <v>1</v>
      </c>
      <c r="E143" s="582"/>
      <c r="F143" s="582">
        <f>D143*E143</f>
        <v>0</v>
      </c>
    </row>
    <row r="144" spans="1:6">
      <c r="A144" s="575" t="s">
        <v>809</v>
      </c>
      <c r="B144" s="186"/>
      <c r="C144" s="576"/>
      <c r="D144" s="576"/>
      <c r="E144" s="576"/>
      <c r="F144" s="576"/>
    </row>
    <row r="145" spans="1:6" ht="14.25" customHeight="1">
      <c r="A145" s="572"/>
      <c r="B145" s="578" t="s">
        <v>919</v>
      </c>
      <c r="C145" s="574"/>
      <c r="D145" s="574"/>
      <c r="E145" s="574"/>
      <c r="F145" s="574"/>
    </row>
    <row r="146" spans="1:6">
      <c r="A146" s="572" t="s">
        <v>809</v>
      </c>
      <c r="B146" s="584"/>
      <c r="C146" s="574"/>
      <c r="D146" s="574"/>
      <c r="E146" s="574"/>
      <c r="F146" s="574"/>
    </row>
    <row r="147" spans="1:6" ht="33" customHeight="1">
      <c r="A147" s="572" t="s">
        <v>579</v>
      </c>
      <c r="B147" s="580" t="s">
        <v>920</v>
      </c>
      <c r="C147" s="574"/>
      <c r="D147" s="574"/>
      <c r="E147" s="574"/>
      <c r="F147" s="574"/>
    </row>
    <row r="148" spans="1:6" ht="135.75" customHeight="1">
      <c r="A148" s="572"/>
      <c r="B148" s="578" t="s">
        <v>921</v>
      </c>
      <c r="C148" s="574" t="s">
        <v>42</v>
      </c>
      <c r="D148" s="574">
        <v>1</v>
      </c>
      <c r="E148" s="582"/>
      <c r="F148" s="582">
        <f>D148*E148</f>
        <v>0</v>
      </c>
    </row>
    <row r="149" spans="1:6">
      <c r="A149" s="572" t="s">
        <v>809</v>
      </c>
      <c r="B149" s="584"/>
      <c r="C149" s="574"/>
      <c r="D149" s="574"/>
      <c r="E149" s="574"/>
      <c r="F149" s="574"/>
    </row>
    <row r="150" spans="1:6" ht="61.5" customHeight="1">
      <c r="A150" s="572" t="s">
        <v>581</v>
      </c>
      <c r="B150" s="585" t="s">
        <v>922</v>
      </c>
      <c r="C150" s="574"/>
      <c r="D150" s="574"/>
      <c r="E150" s="574"/>
      <c r="F150" s="574"/>
    </row>
    <row r="151" spans="1:6" ht="104.25" customHeight="1">
      <c r="A151" s="572"/>
      <c r="B151" s="578" t="s">
        <v>923</v>
      </c>
      <c r="C151" s="574" t="s">
        <v>42</v>
      </c>
      <c r="D151" s="574">
        <v>1</v>
      </c>
      <c r="E151" s="582"/>
      <c r="F151" s="582">
        <f>D151*E151</f>
        <v>0</v>
      </c>
    </row>
    <row r="152" spans="1:6">
      <c r="A152" s="575" t="s">
        <v>809</v>
      </c>
      <c r="B152" s="186"/>
      <c r="C152" s="576"/>
      <c r="D152" s="576"/>
      <c r="E152" s="576"/>
      <c r="F152" s="576"/>
    </row>
    <row r="153" spans="1:6" ht="151.5" customHeight="1">
      <c r="A153" s="572"/>
      <c r="B153" s="579" t="s">
        <v>924</v>
      </c>
      <c r="C153" s="574"/>
      <c r="D153" s="574"/>
      <c r="E153" s="574"/>
      <c r="F153" s="574"/>
    </row>
    <row r="154" spans="1:6">
      <c r="A154" s="572" t="s">
        <v>809</v>
      </c>
      <c r="B154" s="584"/>
      <c r="C154" s="574"/>
      <c r="D154" s="574"/>
      <c r="E154" s="574"/>
      <c r="F154" s="574"/>
    </row>
    <row r="155" spans="1:6" ht="15.75" customHeight="1">
      <c r="A155" s="572" t="s">
        <v>583</v>
      </c>
      <c r="B155" s="578" t="s">
        <v>925</v>
      </c>
      <c r="C155" s="574" t="s">
        <v>926</v>
      </c>
      <c r="D155" s="574">
        <v>1</v>
      </c>
      <c r="E155" s="582"/>
      <c r="F155" s="582">
        <f t="shared" ref="F155:F161" si="0">D155*E155</f>
        <v>0</v>
      </c>
    </row>
    <row r="156" spans="1:6" ht="17.25" customHeight="1">
      <c r="A156" s="572" t="s">
        <v>927</v>
      </c>
      <c r="B156" s="578" t="s">
        <v>928</v>
      </c>
      <c r="C156" s="574" t="s">
        <v>926</v>
      </c>
      <c r="D156" s="574">
        <v>1</v>
      </c>
      <c r="E156" s="582"/>
      <c r="F156" s="582">
        <f t="shared" si="0"/>
        <v>0</v>
      </c>
    </row>
    <row r="157" spans="1:6" ht="14.25" customHeight="1">
      <c r="A157" s="572" t="s">
        <v>929</v>
      </c>
      <c r="B157" s="578" t="s">
        <v>930</v>
      </c>
      <c r="C157" s="574" t="s">
        <v>926</v>
      </c>
      <c r="D157" s="574">
        <v>1</v>
      </c>
      <c r="E157" s="582"/>
      <c r="F157" s="582">
        <f t="shared" si="0"/>
        <v>0</v>
      </c>
    </row>
    <row r="158" spans="1:6" ht="18" customHeight="1">
      <c r="A158" s="572" t="s">
        <v>931</v>
      </c>
      <c r="B158" s="578" t="s">
        <v>932</v>
      </c>
      <c r="C158" s="574" t="s">
        <v>926</v>
      </c>
      <c r="D158" s="574">
        <v>1</v>
      </c>
      <c r="E158" s="582"/>
      <c r="F158" s="582">
        <f t="shared" si="0"/>
        <v>0</v>
      </c>
    </row>
    <row r="159" spans="1:6" ht="18" customHeight="1">
      <c r="A159" s="572" t="s">
        <v>933</v>
      </c>
      <c r="B159" s="578" t="s">
        <v>934</v>
      </c>
      <c r="C159" s="574" t="s">
        <v>926</v>
      </c>
      <c r="D159" s="574">
        <v>1</v>
      </c>
      <c r="E159" s="582"/>
      <c r="F159" s="582">
        <f t="shared" si="0"/>
        <v>0</v>
      </c>
    </row>
    <row r="160" spans="1:6" ht="20.25" customHeight="1">
      <c r="A160" s="572" t="s">
        <v>935</v>
      </c>
      <c r="B160" s="578" t="s">
        <v>936</v>
      </c>
      <c r="C160" s="574" t="s">
        <v>926</v>
      </c>
      <c r="D160" s="574">
        <v>1</v>
      </c>
      <c r="E160" s="582"/>
      <c r="F160" s="582">
        <f t="shared" si="0"/>
        <v>0</v>
      </c>
    </row>
    <row r="161" spans="1:6" ht="20.25" customHeight="1">
      <c r="A161" s="572" t="s">
        <v>937</v>
      </c>
      <c r="B161" s="578" t="s">
        <v>938</v>
      </c>
      <c r="C161" s="574" t="s">
        <v>926</v>
      </c>
      <c r="D161" s="574">
        <v>1</v>
      </c>
      <c r="E161" s="582"/>
      <c r="F161" s="582">
        <f t="shared" si="0"/>
        <v>0</v>
      </c>
    </row>
    <row r="162" spans="1:6" ht="19.5" customHeight="1">
      <c r="A162" s="572" t="s">
        <v>939</v>
      </c>
      <c r="B162" s="578" t="s">
        <v>940</v>
      </c>
      <c r="C162" s="574"/>
      <c r="D162" s="574"/>
      <c r="E162" s="574"/>
      <c r="F162" s="574"/>
    </row>
    <row r="163" spans="1:6" ht="22.5" customHeight="1">
      <c r="A163" s="572" t="s">
        <v>941</v>
      </c>
      <c r="B163" s="578" t="s">
        <v>942</v>
      </c>
      <c r="C163" s="574" t="s">
        <v>242</v>
      </c>
      <c r="D163" s="574">
        <v>13</v>
      </c>
      <c r="E163" s="582"/>
      <c r="F163" s="582">
        <f>D163*E163</f>
        <v>0</v>
      </c>
    </row>
    <row r="164" spans="1:6">
      <c r="A164" s="575" t="s">
        <v>809</v>
      </c>
      <c r="B164" s="186"/>
      <c r="C164" s="576"/>
      <c r="D164" s="576"/>
      <c r="E164" s="576"/>
      <c r="F164" s="576"/>
    </row>
    <row r="165" spans="1:6">
      <c r="A165" s="584"/>
      <c r="B165" s="584"/>
      <c r="C165" s="574"/>
      <c r="D165" s="574"/>
      <c r="E165" s="573" t="s">
        <v>15</v>
      </c>
      <c r="F165" s="586">
        <f>SUM(F23:F150)</f>
        <v>0</v>
      </c>
    </row>
    <row r="166" spans="1:6" s="186" customFormat="1">
      <c r="A166" s="584"/>
      <c r="B166" s="584"/>
      <c r="C166" s="574"/>
      <c r="D166" s="574"/>
      <c r="E166" s="573"/>
      <c r="F166" s="586"/>
    </row>
    <row r="167" spans="1:6">
      <c r="A167" s="571"/>
      <c r="B167" s="571"/>
      <c r="C167" s="571"/>
      <c r="D167" s="571"/>
      <c r="E167" s="571"/>
      <c r="F167" s="571"/>
    </row>
    <row r="168" spans="1:6" ht="15.75" thickBot="1">
      <c r="A168" s="575"/>
      <c r="B168" s="587"/>
      <c r="C168" s="576"/>
      <c r="D168" s="576"/>
      <c r="E168" s="576"/>
      <c r="F168" s="576"/>
    </row>
    <row r="169" spans="1:6" ht="45.75" thickBot="1">
      <c r="A169" s="588" t="s">
        <v>262</v>
      </c>
      <c r="B169" s="589" t="s">
        <v>943</v>
      </c>
      <c r="C169" s="590"/>
      <c r="D169" s="590"/>
      <c r="E169" s="590"/>
      <c r="F169" s="591"/>
    </row>
    <row r="170" spans="1:6">
      <c r="A170" s="575"/>
      <c r="B170" s="592"/>
      <c r="C170" s="593"/>
      <c r="D170" s="593"/>
      <c r="E170" s="593"/>
      <c r="F170" s="593"/>
    </row>
    <row r="171" spans="1:6">
      <c r="A171" s="594" t="s">
        <v>142</v>
      </c>
      <c r="B171" s="580" t="s">
        <v>944</v>
      </c>
      <c r="C171" s="595"/>
      <c r="D171" s="595"/>
      <c r="E171" s="595"/>
      <c r="F171" s="595"/>
    </row>
    <row r="172" spans="1:6" ht="165">
      <c r="A172" s="594"/>
      <c r="B172" s="578" t="s">
        <v>945</v>
      </c>
      <c r="C172" s="595"/>
      <c r="D172" s="595"/>
      <c r="E172" s="595"/>
      <c r="F172" s="595"/>
    </row>
    <row r="173" spans="1:6" ht="30">
      <c r="A173" s="594"/>
      <c r="B173" s="578" t="s">
        <v>946</v>
      </c>
      <c r="C173" s="595"/>
      <c r="D173" s="595"/>
      <c r="E173" s="595"/>
      <c r="F173" s="595"/>
    </row>
    <row r="174" spans="1:6" ht="28.5" customHeight="1">
      <c r="A174" s="594"/>
      <c r="B174" s="578" t="s">
        <v>947</v>
      </c>
      <c r="C174" s="595"/>
      <c r="D174" s="595"/>
      <c r="E174" s="595"/>
      <c r="F174" s="595"/>
    </row>
    <row r="175" spans="1:6" ht="30">
      <c r="A175" s="594"/>
      <c r="B175" s="578" t="s">
        <v>948</v>
      </c>
      <c r="C175" s="595"/>
      <c r="D175" s="595"/>
      <c r="E175" s="595"/>
      <c r="F175" s="595"/>
    </row>
    <row r="176" spans="1:6" ht="75">
      <c r="A176" s="594"/>
      <c r="B176" s="578" t="s">
        <v>949</v>
      </c>
      <c r="C176" s="595"/>
      <c r="D176" s="595"/>
      <c r="E176" s="595"/>
      <c r="F176" s="595"/>
    </row>
    <row r="177" spans="1:6">
      <c r="A177" s="594"/>
      <c r="B177" s="578" t="s">
        <v>950</v>
      </c>
      <c r="C177" s="595"/>
      <c r="D177" s="595"/>
      <c r="E177" s="595"/>
      <c r="F177" s="595"/>
    </row>
    <row r="178" spans="1:6">
      <c r="A178" s="594"/>
      <c r="B178" s="578" t="s">
        <v>951</v>
      </c>
      <c r="C178" s="595"/>
      <c r="D178" s="595"/>
      <c r="E178" s="595"/>
      <c r="F178" s="595"/>
    </row>
    <row r="179" spans="1:6">
      <c r="A179" s="594"/>
      <c r="B179" s="578" t="s">
        <v>952</v>
      </c>
      <c r="C179" s="595"/>
      <c r="D179" s="595"/>
      <c r="E179" s="595"/>
      <c r="F179" s="595"/>
    </row>
    <row r="180" spans="1:6" ht="30">
      <c r="A180" s="594"/>
      <c r="B180" s="578" t="s">
        <v>953</v>
      </c>
      <c r="C180" s="595"/>
      <c r="D180" s="595"/>
      <c r="E180" s="595"/>
      <c r="F180" s="595"/>
    </row>
    <row r="181" spans="1:6" ht="30">
      <c r="A181" s="594"/>
      <c r="B181" s="578" t="s">
        <v>954</v>
      </c>
      <c r="C181" s="595"/>
      <c r="D181" s="595"/>
      <c r="E181" s="595"/>
      <c r="F181" s="595"/>
    </row>
    <row r="182" spans="1:6">
      <c r="A182" s="594"/>
      <c r="B182" s="578" t="s">
        <v>955</v>
      </c>
      <c r="C182" s="595"/>
      <c r="D182" s="595"/>
      <c r="E182" s="595"/>
      <c r="F182" s="595"/>
    </row>
    <row r="183" spans="1:6" ht="30">
      <c r="A183" s="594"/>
      <c r="B183" s="578" t="s">
        <v>956</v>
      </c>
      <c r="C183" s="595"/>
      <c r="D183" s="595"/>
      <c r="E183" s="595"/>
      <c r="F183" s="595"/>
    </row>
    <row r="184" spans="1:6">
      <c r="A184" s="594"/>
      <c r="B184" s="578" t="s">
        <v>957</v>
      </c>
      <c r="C184" s="595"/>
      <c r="D184" s="595"/>
      <c r="E184" s="595"/>
      <c r="F184" s="595"/>
    </row>
    <row r="185" spans="1:6" ht="30">
      <c r="A185" s="594"/>
      <c r="B185" s="578" t="s">
        <v>958</v>
      </c>
      <c r="C185" s="595"/>
      <c r="D185" s="595"/>
      <c r="E185" s="595"/>
      <c r="F185" s="595"/>
    </row>
    <row r="186" spans="1:6" ht="30">
      <c r="A186" s="594"/>
      <c r="B186" s="578" t="s">
        <v>959</v>
      </c>
      <c r="C186" s="595"/>
      <c r="D186" s="595"/>
      <c r="E186" s="595"/>
      <c r="F186" s="595"/>
    </row>
    <row r="187" spans="1:6" ht="30">
      <c r="A187" s="594"/>
      <c r="B187" s="578" t="s">
        <v>960</v>
      </c>
      <c r="C187" s="595"/>
      <c r="D187" s="595"/>
      <c r="E187" s="595"/>
      <c r="F187" s="595"/>
    </row>
    <row r="188" spans="1:6" ht="30">
      <c r="A188" s="594"/>
      <c r="B188" s="578" t="s">
        <v>961</v>
      </c>
      <c r="C188" s="595"/>
      <c r="D188" s="595"/>
      <c r="E188" s="595"/>
      <c r="F188" s="595"/>
    </row>
    <row r="189" spans="1:6" ht="30">
      <c r="A189" s="594"/>
      <c r="B189" s="578" t="s">
        <v>962</v>
      </c>
      <c r="C189" s="595"/>
      <c r="D189" s="595"/>
      <c r="E189" s="595"/>
      <c r="F189" s="595"/>
    </row>
    <row r="190" spans="1:6" ht="30">
      <c r="A190" s="594"/>
      <c r="B190" s="578" t="s">
        <v>963</v>
      </c>
      <c r="C190" s="595"/>
      <c r="D190" s="595"/>
      <c r="E190" s="595"/>
      <c r="F190" s="595"/>
    </row>
    <row r="191" spans="1:6" ht="30">
      <c r="A191" s="594"/>
      <c r="B191" s="578" t="s">
        <v>964</v>
      </c>
      <c r="C191" s="595"/>
      <c r="D191" s="595"/>
      <c r="E191" s="595"/>
      <c r="F191" s="595"/>
    </row>
    <row r="192" spans="1:6" ht="30">
      <c r="A192" s="594"/>
      <c r="B192" s="578" t="s">
        <v>965</v>
      </c>
      <c r="C192" s="595"/>
      <c r="D192" s="595"/>
      <c r="E192" s="595"/>
      <c r="F192" s="595"/>
    </row>
    <row r="193" spans="1:6" ht="30">
      <c r="A193" s="594"/>
      <c r="B193" s="578" t="s">
        <v>966</v>
      </c>
      <c r="C193" s="595"/>
      <c r="D193" s="595"/>
      <c r="E193" s="595"/>
      <c r="F193" s="595"/>
    </row>
    <row r="194" spans="1:6">
      <c r="A194" s="594"/>
      <c r="B194" s="578" t="s">
        <v>967</v>
      </c>
      <c r="C194" s="595"/>
      <c r="D194" s="595"/>
      <c r="E194" s="595"/>
      <c r="F194" s="595"/>
    </row>
    <row r="195" spans="1:6" ht="60">
      <c r="A195" s="594"/>
      <c r="B195" s="578" t="s">
        <v>968</v>
      </c>
      <c r="C195" s="595"/>
      <c r="D195" s="595"/>
      <c r="E195" s="595"/>
      <c r="F195" s="595"/>
    </row>
    <row r="196" spans="1:6" ht="30">
      <c r="A196" s="594"/>
      <c r="B196" s="578" t="s">
        <v>969</v>
      </c>
      <c r="C196" s="595"/>
      <c r="D196" s="595"/>
      <c r="E196" s="595"/>
      <c r="F196" s="595"/>
    </row>
    <row r="197" spans="1:6" ht="30">
      <c r="A197" s="594"/>
      <c r="B197" s="578" t="s">
        <v>970</v>
      </c>
      <c r="C197" s="595"/>
      <c r="D197" s="595"/>
      <c r="E197" s="595"/>
      <c r="F197" s="595"/>
    </row>
    <row r="198" spans="1:6" ht="30">
      <c r="A198" s="594"/>
      <c r="B198" s="578" t="s">
        <v>971</v>
      </c>
      <c r="C198" s="595"/>
      <c r="D198" s="595"/>
      <c r="E198" s="595"/>
      <c r="F198" s="595"/>
    </row>
    <row r="199" spans="1:6" ht="30">
      <c r="A199" s="594"/>
      <c r="B199" s="578" t="s">
        <v>972</v>
      </c>
      <c r="C199" s="595"/>
      <c r="D199" s="595"/>
      <c r="E199" s="595"/>
      <c r="F199" s="595"/>
    </row>
    <row r="200" spans="1:6" ht="30">
      <c r="A200" s="594"/>
      <c r="B200" s="578" t="s">
        <v>973</v>
      </c>
      <c r="C200" s="595"/>
      <c r="D200" s="595"/>
      <c r="E200" s="595"/>
      <c r="F200" s="595"/>
    </row>
    <row r="201" spans="1:6">
      <c r="A201" s="594"/>
      <c r="B201" s="578" t="s">
        <v>944</v>
      </c>
      <c r="C201" s="595" t="s">
        <v>42</v>
      </c>
      <c r="D201" s="595">
        <v>1</v>
      </c>
      <c r="E201" s="596"/>
      <c r="F201" s="596">
        <f>D201*E201</f>
        <v>0</v>
      </c>
    </row>
    <row r="202" spans="1:6">
      <c r="A202" s="597"/>
      <c r="B202" s="186"/>
      <c r="C202" s="593"/>
      <c r="D202" s="593"/>
      <c r="E202" s="593"/>
      <c r="F202" s="593"/>
    </row>
    <row r="203" spans="1:6">
      <c r="A203" s="594"/>
      <c r="B203" s="583" t="s">
        <v>974</v>
      </c>
      <c r="C203" s="595"/>
      <c r="D203" s="595"/>
      <c r="E203" s="595"/>
      <c r="F203" s="595"/>
    </row>
    <row r="204" spans="1:6" ht="270">
      <c r="A204" s="594"/>
      <c r="B204" s="578" t="s">
        <v>975</v>
      </c>
      <c r="C204" s="595"/>
      <c r="D204" s="595"/>
      <c r="E204" s="595"/>
      <c r="F204" s="595"/>
    </row>
    <row r="205" spans="1:6">
      <c r="A205" s="598" t="s">
        <v>809</v>
      </c>
      <c r="B205" s="584"/>
      <c r="C205" s="595"/>
      <c r="D205" s="595"/>
      <c r="E205" s="595"/>
      <c r="F205" s="595"/>
    </row>
    <row r="206" spans="1:6">
      <c r="A206" s="594" t="s">
        <v>143</v>
      </c>
      <c r="B206" s="578" t="s">
        <v>976</v>
      </c>
      <c r="C206" s="595"/>
      <c r="D206" s="595"/>
      <c r="E206" s="595"/>
      <c r="F206" s="595"/>
    </row>
    <row r="207" spans="1:6" ht="30">
      <c r="A207" s="594"/>
      <c r="B207" s="578" t="s">
        <v>821</v>
      </c>
      <c r="C207" s="595"/>
      <c r="D207" s="595"/>
      <c r="E207" s="595"/>
      <c r="F207" s="595"/>
    </row>
    <row r="208" spans="1:6">
      <c r="A208" s="594"/>
      <c r="B208" s="578" t="s">
        <v>977</v>
      </c>
      <c r="C208" s="595"/>
      <c r="D208" s="595"/>
      <c r="E208" s="595"/>
      <c r="F208" s="595"/>
    </row>
    <row r="209" spans="1:6">
      <c r="A209" s="594"/>
      <c r="B209" s="578" t="s">
        <v>978</v>
      </c>
      <c r="C209" s="595"/>
      <c r="D209" s="595"/>
      <c r="E209" s="595"/>
      <c r="F209" s="595"/>
    </row>
    <row r="210" spans="1:6" ht="30">
      <c r="A210" s="594"/>
      <c r="B210" s="578" t="s">
        <v>979</v>
      </c>
      <c r="C210" s="595"/>
      <c r="D210" s="595"/>
      <c r="E210" s="595"/>
      <c r="F210" s="595"/>
    </row>
    <row r="211" spans="1:6" ht="30">
      <c r="A211" s="594"/>
      <c r="B211" s="578" t="s">
        <v>980</v>
      </c>
      <c r="C211" s="595"/>
      <c r="D211" s="595"/>
      <c r="E211" s="595"/>
      <c r="F211" s="595"/>
    </row>
    <row r="212" spans="1:6" ht="30">
      <c r="A212" s="594"/>
      <c r="B212" s="578" t="s">
        <v>981</v>
      </c>
      <c r="C212" s="595"/>
      <c r="D212" s="595"/>
      <c r="E212" s="595"/>
      <c r="F212" s="595"/>
    </row>
    <row r="213" spans="1:6" ht="30">
      <c r="A213" s="594"/>
      <c r="B213" s="578" t="s">
        <v>982</v>
      </c>
      <c r="C213" s="595"/>
      <c r="D213" s="595"/>
      <c r="E213" s="595"/>
      <c r="F213" s="595"/>
    </row>
    <row r="214" spans="1:6" ht="30">
      <c r="A214" s="594"/>
      <c r="B214" s="578" t="s">
        <v>983</v>
      </c>
      <c r="C214" s="595"/>
      <c r="D214" s="595"/>
      <c r="E214" s="595"/>
      <c r="F214" s="595"/>
    </row>
    <row r="215" spans="1:6" ht="30">
      <c r="A215" s="594"/>
      <c r="B215" s="578" t="s">
        <v>984</v>
      </c>
      <c r="C215" s="595"/>
      <c r="D215" s="595"/>
      <c r="E215" s="595"/>
      <c r="F215" s="595"/>
    </row>
    <row r="216" spans="1:6" ht="30">
      <c r="A216" s="594"/>
      <c r="B216" s="578" t="s">
        <v>985</v>
      </c>
      <c r="C216" s="595"/>
      <c r="D216" s="595"/>
      <c r="E216" s="595"/>
      <c r="F216" s="595"/>
    </row>
    <row r="217" spans="1:6" ht="30">
      <c r="A217" s="594"/>
      <c r="B217" s="578" t="s">
        <v>986</v>
      </c>
      <c r="C217" s="595"/>
      <c r="D217" s="595"/>
      <c r="E217" s="595"/>
      <c r="F217" s="595"/>
    </row>
    <row r="218" spans="1:6">
      <c r="A218" s="594"/>
      <c r="B218" s="578" t="s">
        <v>987</v>
      </c>
      <c r="C218" s="595"/>
      <c r="D218" s="595"/>
      <c r="E218" s="595"/>
      <c r="F218" s="595"/>
    </row>
    <row r="219" spans="1:6">
      <c r="A219" s="594"/>
      <c r="B219" s="578" t="s">
        <v>988</v>
      </c>
      <c r="C219" s="595"/>
      <c r="D219" s="595"/>
      <c r="E219" s="595"/>
      <c r="F219" s="595"/>
    </row>
    <row r="220" spans="1:6">
      <c r="A220" s="594"/>
      <c r="B220" s="578" t="s">
        <v>976</v>
      </c>
      <c r="C220" s="595" t="s">
        <v>42</v>
      </c>
      <c r="D220" s="595">
        <v>2</v>
      </c>
      <c r="E220" s="596"/>
      <c r="F220" s="596">
        <f>D220*E220</f>
        <v>0</v>
      </c>
    </row>
    <row r="221" spans="1:6">
      <c r="A221" s="597" t="s">
        <v>809</v>
      </c>
      <c r="B221" s="186"/>
      <c r="C221" s="593"/>
      <c r="D221" s="593"/>
      <c r="E221" s="593"/>
      <c r="F221" s="593"/>
    </row>
    <row r="222" spans="1:6" ht="156.75">
      <c r="A222" s="599"/>
      <c r="B222" s="600" t="s">
        <v>989</v>
      </c>
      <c r="C222" s="601"/>
      <c r="D222" s="602"/>
      <c r="E222" s="602"/>
      <c r="F222" s="603">
        <f t="shared" ref="F222:F242" si="1">D222*E222</f>
        <v>0</v>
      </c>
    </row>
    <row r="223" spans="1:6">
      <c r="A223" s="599" t="s">
        <v>144</v>
      </c>
      <c r="B223" s="604" t="s">
        <v>990</v>
      </c>
      <c r="C223" s="601" t="s">
        <v>991</v>
      </c>
      <c r="D223" s="602">
        <v>5</v>
      </c>
      <c r="E223" s="602"/>
      <c r="F223" s="603">
        <f t="shared" si="1"/>
        <v>0</v>
      </c>
    </row>
    <row r="224" spans="1:6">
      <c r="A224" s="599" t="s">
        <v>145</v>
      </c>
      <c r="B224" s="604" t="s">
        <v>992</v>
      </c>
      <c r="C224" s="601" t="s">
        <v>991</v>
      </c>
      <c r="D224" s="602">
        <v>5</v>
      </c>
      <c r="E224" s="602"/>
      <c r="F224" s="603">
        <f t="shared" si="1"/>
        <v>0</v>
      </c>
    </row>
    <row r="225" spans="1:6">
      <c r="A225" s="605"/>
      <c r="B225" s="186"/>
      <c r="C225" s="186"/>
      <c r="D225" s="186"/>
      <c r="E225" s="186"/>
      <c r="F225" s="186"/>
    </row>
    <row r="226" spans="1:6" ht="99.75">
      <c r="A226" s="606" t="s">
        <v>146</v>
      </c>
      <c r="B226" s="607" t="s">
        <v>993</v>
      </c>
      <c r="C226" s="608" t="s">
        <v>464</v>
      </c>
      <c r="D226" s="609"/>
      <c r="E226" s="609"/>
      <c r="F226" s="603">
        <f t="shared" si="1"/>
        <v>0</v>
      </c>
    </row>
    <row r="227" spans="1:6">
      <c r="A227" s="610"/>
      <c r="B227" s="611" t="s">
        <v>994</v>
      </c>
      <c r="C227" s="608" t="s">
        <v>991</v>
      </c>
      <c r="D227" s="612">
        <v>15</v>
      </c>
      <c r="E227" s="613"/>
      <c r="F227" s="603">
        <f t="shared" si="1"/>
        <v>0</v>
      </c>
    </row>
    <row r="228" spans="1:6">
      <c r="A228" s="605"/>
      <c r="B228" s="186"/>
      <c r="C228" s="186"/>
      <c r="D228" s="186"/>
      <c r="E228" s="186"/>
      <c r="F228" s="186"/>
    </row>
    <row r="229" spans="1:6" ht="71.25">
      <c r="A229" s="606" t="s">
        <v>995</v>
      </c>
      <c r="B229" s="607" t="s">
        <v>996</v>
      </c>
      <c r="C229" s="608" t="s">
        <v>464</v>
      </c>
      <c r="D229" s="612"/>
      <c r="E229" s="612"/>
      <c r="F229" s="603">
        <f t="shared" si="1"/>
        <v>0</v>
      </c>
    </row>
    <row r="230" spans="1:6">
      <c r="A230" s="610"/>
      <c r="B230" s="611" t="s">
        <v>997</v>
      </c>
      <c r="C230" s="608" t="s">
        <v>991</v>
      </c>
      <c r="D230" s="612">
        <v>15</v>
      </c>
      <c r="E230" s="612"/>
      <c r="F230" s="603">
        <f t="shared" si="1"/>
        <v>0</v>
      </c>
    </row>
    <row r="231" spans="1:6">
      <c r="A231" s="597"/>
      <c r="B231" s="186"/>
      <c r="C231" s="593"/>
      <c r="D231" s="593"/>
      <c r="E231" s="593"/>
      <c r="F231" s="593"/>
    </row>
    <row r="232" spans="1:6" ht="114">
      <c r="A232" s="599" t="s">
        <v>998</v>
      </c>
      <c r="B232" s="600" t="s">
        <v>999</v>
      </c>
      <c r="C232" s="601" t="s">
        <v>42</v>
      </c>
      <c r="D232" s="602">
        <v>2</v>
      </c>
      <c r="E232" s="602"/>
      <c r="F232" s="603">
        <f t="shared" si="1"/>
        <v>0</v>
      </c>
    </row>
    <row r="233" spans="1:6">
      <c r="A233" s="597"/>
      <c r="B233" s="186"/>
      <c r="C233" s="593"/>
      <c r="D233" s="593"/>
      <c r="E233" s="593"/>
      <c r="F233" s="593"/>
    </row>
    <row r="234" spans="1:6" ht="42.75">
      <c r="A234" s="599" t="s">
        <v>1000</v>
      </c>
      <c r="B234" s="614" t="s">
        <v>1001</v>
      </c>
      <c r="C234" s="615" t="s">
        <v>242</v>
      </c>
      <c r="D234" s="616">
        <v>1</v>
      </c>
      <c r="E234" s="616"/>
      <c r="F234" s="603">
        <f t="shared" si="1"/>
        <v>0</v>
      </c>
    </row>
    <row r="235" spans="1:6">
      <c r="A235" s="597"/>
      <c r="B235" s="186"/>
      <c r="C235" s="593"/>
      <c r="D235" s="593"/>
      <c r="E235" s="593"/>
      <c r="F235" s="593"/>
    </row>
    <row r="236" spans="1:6" ht="57">
      <c r="A236" s="599" t="s">
        <v>1002</v>
      </c>
      <c r="B236" s="600" t="s">
        <v>1003</v>
      </c>
      <c r="C236" s="601" t="s">
        <v>42</v>
      </c>
      <c r="D236" s="602">
        <v>6</v>
      </c>
      <c r="E236" s="602"/>
      <c r="F236" s="603">
        <f t="shared" si="1"/>
        <v>0</v>
      </c>
    </row>
    <row r="237" spans="1:6">
      <c r="A237" s="597"/>
      <c r="B237" s="186"/>
      <c r="C237" s="593"/>
      <c r="D237" s="593"/>
      <c r="E237" s="593"/>
      <c r="F237" s="593"/>
    </row>
    <row r="238" spans="1:6" ht="199.5">
      <c r="A238" s="617" t="s">
        <v>1004</v>
      </c>
      <c r="B238" s="600" t="s">
        <v>1005</v>
      </c>
      <c r="C238" s="601" t="s">
        <v>1006</v>
      </c>
      <c r="D238" s="602">
        <v>1</v>
      </c>
      <c r="E238" s="602"/>
      <c r="F238" s="603">
        <f t="shared" si="1"/>
        <v>0</v>
      </c>
    </row>
    <row r="239" spans="1:6">
      <c r="A239" s="597"/>
      <c r="B239" s="186"/>
      <c r="C239" s="593"/>
      <c r="D239" s="593"/>
      <c r="E239" s="593"/>
      <c r="F239" s="593"/>
    </row>
    <row r="240" spans="1:6" ht="85.5">
      <c r="A240" s="599" t="s">
        <v>1007</v>
      </c>
      <c r="B240" s="600" t="s">
        <v>1008</v>
      </c>
      <c r="C240" s="601" t="s">
        <v>1006</v>
      </c>
      <c r="D240" s="602">
        <v>1</v>
      </c>
      <c r="E240" s="602"/>
      <c r="F240" s="603">
        <f t="shared" si="1"/>
        <v>0</v>
      </c>
    </row>
    <row r="241" spans="1:6">
      <c r="A241" s="597"/>
      <c r="B241" s="186"/>
      <c r="C241" s="593"/>
      <c r="D241" s="593"/>
      <c r="E241" s="593"/>
      <c r="F241" s="593"/>
    </row>
    <row r="242" spans="1:6" ht="156.75">
      <c r="A242" s="599" t="s">
        <v>1009</v>
      </c>
      <c r="B242" s="600" t="s">
        <v>1010</v>
      </c>
      <c r="C242" s="601" t="s">
        <v>1006</v>
      </c>
      <c r="D242" s="602">
        <v>1</v>
      </c>
      <c r="E242" s="602"/>
      <c r="F242" s="603">
        <f t="shared" si="1"/>
        <v>0</v>
      </c>
    </row>
    <row r="243" spans="1:6">
      <c r="A243" s="597"/>
      <c r="B243" s="186"/>
      <c r="C243" s="593"/>
      <c r="D243" s="593"/>
      <c r="E243" s="593"/>
      <c r="F243" s="593"/>
    </row>
    <row r="244" spans="1:6" ht="15.75" thickBot="1">
      <c r="A244" s="584"/>
      <c r="B244" s="584"/>
      <c r="C244" s="574"/>
      <c r="D244" s="574"/>
      <c r="E244" s="573" t="s">
        <v>15</v>
      </c>
      <c r="F244" s="586">
        <f>SUM(F169:F242)</f>
        <v>0</v>
      </c>
    </row>
    <row r="245" spans="1:6" ht="45.75" thickBot="1">
      <c r="A245" s="588" t="s">
        <v>263</v>
      </c>
      <c r="B245" s="589" t="s">
        <v>1011</v>
      </c>
      <c r="C245" s="590"/>
      <c r="D245" s="590"/>
      <c r="E245" s="590"/>
      <c r="F245" s="591"/>
    </row>
    <row r="246" spans="1:6">
      <c r="A246" s="597" t="s">
        <v>809</v>
      </c>
      <c r="B246" s="186"/>
      <c r="C246" s="576"/>
      <c r="D246" s="576"/>
      <c r="E246" s="576"/>
      <c r="F246" s="576"/>
    </row>
    <row r="247" spans="1:6" ht="30">
      <c r="A247" s="594" t="s">
        <v>310</v>
      </c>
      <c r="B247" s="580" t="s">
        <v>1012</v>
      </c>
      <c r="C247" s="574"/>
      <c r="D247" s="574"/>
      <c r="E247" s="574"/>
      <c r="F247" s="574"/>
    </row>
    <row r="248" spans="1:6" ht="30">
      <c r="A248" s="594"/>
      <c r="B248" s="578" t="s">
        <v>1013</v>
      </c>
      <c r="C248" s="574"/>
      <c r="D248" s="574"/>
      <c r="E248" s="574"/>
      <c r="F248" s="574"/>
    </row>
    <row r="249" spans="1:6" ht="210">
      <c r="A249" s="594"/>
      <c r="B249" s="578" t="s">
        <v>1014</v>
      </c>
      <c r="C249" s="574"/>
      <c r="D249" s="574"/>
      <c r="E249" s="574"/>
      <c r="F249" s="574"/>
    </row>
    <row r="250" spans="1:6">
      <c r="A250" s="594"/>
      <c r="B250" s="578" t="s">
        <v>1015</v>
      </c>
      <c r="C250" s="574"/>
      <c r="D250" s="574"/>
      <c r="E250" s="574"/>
      <c r="F250" s="574"/>
    </row>
    <row r="251" spans="1:6" ht="30">
      <c r="A251" s="594"/>
      <c r="B251" s="578" t="s">
        <v>1016</v>
      </c>
      <c r="C251" s="574"/>
      <c r="D251" s="574"/>
      <c r="E251" s="574"/>
      <c r="F251" s="574"/>
    </row>
    <row r="252" spans="1:6">
      <c r="A252" s="594"/>
      <c r="B252" s="578" t="s">
        <v>1017</v>
      </c>
      <c r="C252" s="574"/>
      <c r="D252" s="574"/>
      <c r="E252" s="574"/>
      <c r="F252" s="574"/>
    </row>
    <row r="253" spans="1:6">
      <c r="A253" s="594"/>
      <c r="B253" s="578" t="s">
        <v>1018</v>
      </c>
      <c r="C253" s="574"/>
      <c r="D253" s="574"/>
      <c r="E253" s="574"/>
      <c r="F253" s="574"/>
    </row>
    <row r="254" spans="1:6">
      <c r="A254" s="594"/>
      <c r="B254" s="578" t="s">
        <v>1019</v>
      </c>
      <c r="C254" s="574"/>
      <c r="D254" s="574"/>
      <c r="E254" s="574"/>
      <c r="F254" s="574"/>
    </row>
    <row r="255" spans="1:6">
      <c r="A255" s="594"/>
      <c r="B255" s="578" t="s">
        <v>1020</v>
      </c>
      <c r="C255" s="574"/>
      <c r="D255" s="574"/>
      <c r="E255" s="574"/>
      <c r="F255" s="574"/>
    </row>
    <row r="256" spans="1:6" ht="45">
      <c r="A256" s="594"/>
      <c r="B256" s="578" t="s">
        <v>1021</v>
      </c>
      <c r="C256" s="574"/>
      <c r="D256" s="574"/>
      <c r="E256" s="574"/>
      <c r="F256" s="574"/>
    </row>
    <row r="257" spans="1:6" ht="30">
      <c r="A257" s="594"/>
      <c r="B257" s="578" t="s">
        <v>1022</v>
      </c>
      <c r="C257" s="574"/>
      <c r="D257" s="574"/>
      <c r="E257" s="574"/>
      <c r="F257" s="574"/>
    </row>
    <row r="258" spans="1:6" ht="30">
      <c r="A258" s="594"/>
      <c r="B258" s="578" t="s">
        <v>1023</v>
      </c>
      <c r="C258" s="574"/>
      <c r="D258" s="574"/>
      <c r="E258" s="574"/>
      <c r="F258" s="574"/>
    </row>
    <row r="259" spans="1:6" ht="30">
      <c r="A259" s="594"/>
      <c r="B259" s="578" t="s">
        <v>1024</v>
      </c>
      <c r="C259" s="574"/>
      <c r="D259" s="574"/>
      <c r="E259" s="574"/>
      <c r="F259" s="574"/>
    </row>
    <row r="260" spans="1:6" ht="30">
      <c r="A260" s="594"/>
      <c r="B260" s="578" t="s">
        <v>1025</v>
      </c>
      <c r="C260" s="574"/>
      <c r="D260" s="574"/>
      <c r="E260" s="574"/>
      <c r="F260" s="574"/>
    </row>
    <row r="261" spans="1:6">
      <c r="A261" s="594"/>
      <c r="B261" s="578" t="s">
        <v>1026</v>
      </c>
      <c r="C261" s="574"/>
      <c r="D261" s="574"/>
      <c r="E261" s="574"/>
      <c r="F261" s="574"/>
    </row>
    <row r="262" spans="1:6" ht="30">
      <c r="A262" s="594"/>
      <c r="B262" s="578" t="s">
        <v>1027</v>
      </c>
      <c r="C262" s="574"/>
      <c r="D262" s="574"/>
      <c r="E262" s="574"/>
      <c r="F262" s="574"/>
    </row>
    <row r="263" spans="1:6" ht="30">
      <c r="A263" s="594"/>
      <c r="B263" s="578" t="s">
        <v>1028</v>
      </c>
      <c r="C263" s="574"/>
      <c r="D263" s="574"/>
      <c r="E263" s="574"/>
      <c r="F263" s="574"/>
    </row>
    <row r="264" spans="1:6">
      <c r="A264" s="594"/>
      <c r="B264" s="578" t="s">
        <v>1029</v>
      </c>
      <c r="C264" s="574"/>
      <c r="D264" s="574"/>
      <c r="E264" s="574"/>
      <c r="F264" s="574"/>
    </row>
    <row r="265" spans="1:6" ht="30">
      <c r="A265" s="594"/>
      <c r="B265" s="579" t="s">
        <v>1030</v>
      </c>
      <c r="C265" s="574"/>
      <c r="D265" s="574"/>
      <c r="E265" s="574"/>
      <c r="F265" s="574"/>
    </row>
    <row r="266" spans="1:6">
      <c r="A266" s="594"/>
      <c r="B266" s="578" t="s">
        <v>1031</v>
      </c>
      <c r="C266" s="574"/>
      <c r="D266" s="574"/>
      <c r="E266" s="574"/>
      <c r="F266" s="574"/>
    </row>
    <row r="267" spans="1:6" ht="30">
      <c r="A267" s="594"/>
      <c r="B267" s="578" t="s">
        <v>1032</v>
      </c>
      <c r="C267" s="574"/>
      <c r="D267" s="574"/>
      <c r="E267" s="574"/>
      <c r="F267" s="574"/>
    </row>
    <row r="268" spans="1:6" ht="30">
      <c r="A268" s="594"/>
      <c r="B268" s="578" t="s">
        <v>1033</v>
      </c>
      <c r="C268" s="574"/>
      <c r="D268" s="574"/>
      <c r="E268" s="574"/>
      <c r="F268" s="574"/>
    </row>
    <row r="269" spans="1:6" ht="30">
      <c r="A269" s="594"/>
      <c r="B269" s="578" t="s">
        <v>1027</v>
      </c>
      <c r="C269" s="574"/>
      <c r="D269" s="574"/>
      <c r="E269" s="574"/>
      <c r="F269" s="574"/>
    </row>
    <row r="270" spans="1:6" ht="30">
      <c r="A270" s="594"/>
      <c r="B270" s="578" t="s">
        <v>1034</v>
      </c>
      <c r="C270" s="574"/>
      <c r="D270" s="574"/>
      <c r="E270" s="574"/>
      <c r="F270" s="574"/>
    </row>
    <row r="271" spans="1:6">
      <c r="A271" s="594"/>
      <c r="B271" s="578" t="s">
        <v>1035</v>
      </c>
      <c r="C271" s="574"/>
      <c r="D271" s="574"/>
      <c r="E271" s="574"/>
      <c r="F271" s="574"/>
    </row>
    <row r="272" spans="1:6">
      <c r="A272" s="594"/>
      <c r="B272" s="578" t="s">
        <v>1036</v>
      </c>
      <c r="C272" s="574"/>
      <c r="D272" s="574"/>
      <c r="E272" s="574"/>
      <c r="F272" s="574"/>
    </row>
    <row r="273" spans="1:6">
      <c r="A273" s="594"/>
      <c r="B273" s="578" t="s">
        <v>1037</v>
      </c>
      <c r="C273" s="574"/>
      <c r="D273" s="574"/>
      <c r="E273" s="574"/>
      <c r="F273" s="574"/>
    </row>
    <row r="274" spans="1:6" ht="30">
      <c r="A274" s="594"/>
      <c r="B274" s="578" t="s">
        <v>1038</v>
      </c>
      <c r="C274" s="574"/>
      <c r="D274" s="574"/>
      <c r="E274" s="574"/>
      <c r="F274" s="574"/>
    </row>
    <row r="275" spans="1:6">
      <c r="A275" s="594"/>
      <c r="B275" s="578" t="s">
        <v>1039</v>
      </c>
      <c r="C275" s="574"/>
      <c r="D275" s="574"/>
      <c r="E275" s="574"/>
      <c r="F275" s="574"/>
    </row>
    <row r="276" spans="1:6">
      <c r="A276" s="594"/>
      <c r="B276" s="578" t="s">
        <v>1040</v>
      </c>
      <c r="C276" s="574"/>
      <c r="D276" s="574"/>
      <c r="E276" s="574"/>
      <c r="F276" s="574"/>
    </row>
    <row r="277" spans="1:6" ht="30">
      <c r="A277" s="594"/>
      <c r="B277" s="578" t="s">
        <v>1041</v>
      </c>
      <c r="C277" s="574"/>
      <c r="D277" s="574"/>
      <c r="E277" s="574"/>
      <c r="F277" s="574"/>
    </row>
    <row r="278" spans="1:6">
      <c r="A278" s="594"/>
      <c r="B278" s="578" t="s">
        <v>1035</v>
      </c>
      <c r="C278" s="574"/>
      <c r="D278" s="574"/>
      <c r="E278" s="574"/>
      <c r="F278" s="574"/>
    </row>
    <row r="279" spans="1:6" ht="30">
      <c r="A279" s="594"/>
      <c r="B279" s="578" t="s">
        <v>1042</v>
      </c>
      <c r="C279" s="574"/>
      <c r="D279" s="574"/>
      <c r="E279" s="574"/>
      <c r="F279" s="574"/>
    </row>
    <row r="280" spans="1:6" ht="30">
      <c r="A280" s="594"/>
      <c r="B280" s="578" t="s">
        <v>1043</v>
      </c>
      <c r="C280" s="574"/>
      <c r="D280" s="574"/>
      <c r="E280" s="574"/>
      <c r="F280" s="574"/>
    </row>
    <row r="281" spans="1:6">
      <c r="A281" s="594"/>
      <c r="B281" s="578" t="s">
        <v>1044</v>
      </c>
      <c r="C281" s="574"/>
      <c r="D281" s="574"/>
      <c r="E281" s="574"/>
      <c r="F281" s="574"/>
    </row>
    <row r="282" spans="1:6" ht="180">
      <c r="A282" s="594"/>
      <c r="B282" s="578" t="s">
        <v>1045</v>
      </c>
      <c r="C282" s="574"/>
      <c r="D282" s="574"/>
      <c r="E282" s="574"/>
      <c r="F282" s="574"/>
    </row>
    <row r="283" spans="1:6">
      <c r="A283" s="594"/>
      <c r="B283" s="578" t="s">
        <v>1046</v>
      </c>
      <c r="C283" s="574"/>
      <c r="D283" s="574"/>
      <c r="E283" s="574"/>
      <c r="F283" s="574"/>
    </row>
    <row r="284" spans="1:6" ht="30">
      <c r="A284" s="594"/>
      <c r="B284" s="578" t="s">
        <v>1047</v>
      </c>
      <c r="C284" s="574"/>
      <c r="D284" s="574"/>
      <c r="E284" s="574"/>
      <c r="F284" s="574"/>
    </row>
    <row r="285" spans="1:6" ht="120">
      <c r="A285" s="594"/>
      <c r="B285" s="578" t="s">
        <v>1048</v>
      </c>
      <c r="C285" s="574"/>
      <c r="D285" s="574"/>
      <c r="E285" s="574"/>
      <c r="F285" s="574"/>
    </row>
    <row r="286" spans="1:6">
      <c r="A286" s="594"/>
      <c r="B286" s="578" t="s">
        <v>1049</v>
      </c>
      <c r="C286" s="574"/>
      <c r="D286" s="574"/>
      <c r="E286" s="574"/>
      <c r="F286" s="574"/>
    </row>
    <row r="287" spans="1:6" ht="30">
      <c r="A287" s="594"/>
      <c r="B287" s="578" t="s">
        <v>1047</v>
      </c>
      <c r="C287" s="574"/>
      <c r="D287" s="574"/>
      <c r="E287" s="574"/>
      <c r="F287" s="574"/>
    </row>
    <row r="288" spans="1:6" ht="30">
      <c r="A288" s="594"/>
      <c r="B288" s="578" t="s">
        <v>1050</v>
      </c>
      <c r="C288" s="574"/>
      <c r="D288" s="574"/>
      <c r="E288" s="574"/>
      <c r="F288" s="574"/>
    </row>
    <row r="289" spans="1:6" ht="30">
      <c r="A289" s="594"/>
      <c r="B289" s="578" t="s">
        <v>1051</v>
      </c>
      <c r="C289" s="574"/>
      <c r="D289" s="574"/>
      <c r="E289" s="574"/>
      <c r="F289" s="574"/>
    </row>
    <row r="290" spans="1:6" ht="30">
      <c r="A290" s="594"/>
      <c r="B290" s="578" t="s">
        <v>1052</v>
      </c>
      <c r="C290" s="574"/>
      <c r="D290" s="574"/>
      <c r="E290" s="574"/>
      <c r="F290" s="574"/>
    </row>
    <row r="291" spans="1:6" ht="30">
      <c r="A291" s="594"/>
      <c r="B291" s="578" t="s">
        <v>1053</v>
      </c>
      <c r="C291" s="574"/>
      <c r="D291" s="574"/>
      <c r="E291" s="574"/>
      <c r="F291" s="574"/>
    </row>
    <row r="292" spans="1:6" ht="30">
      <c r="A292" s="594"/>
      <c r="B292" s="578" t="s">
        <v>1054</v>
      </c>
      <c r="C292" s="574"/>
      <c r="D292" s="574"/>
      <c r="E292" s="574"/>
      <c r="F292" s="574"/>
    </row>
    <row r="293" spans="1:6" ht="30">
      <c r="A293" s="594"/>
      <c r="B293" s="578" t="s">
        <v>1055</v>
      </c>
      <c r="C293" s="574"/>
      <c r="D293" s="574"/>
      <c r="E293" s="574"/>
      <c r="F293" s="574"/>
    </row>
    <row r="294" spans="1:6" ht="30">
      <c r="A294" s="594"/>
      <c r="B294" s="578" t="s">
        <v>1056</v>
      </c>
      <c r="C294" s="574"/>
      <c r="D294" s="574"/>
      <c r="E294" s="574"/>
      <c r="F294" s="574"/>
    </row>
    <row r="295" spans="1:6" ht="30">
      <c r="A295" s="594"/>
      <c r="B295" s="578" t="s">
        <v>1057</v>
      </c>
      <c r="C295" s="574"/>
      <c r="D295" s="574"/>
      <c r="E295" s="574"/>
      <c r="F295" s="574"/>
    </row>
    <row r="296" spans="1:6" ht="30">
      <c r="A296" s="594"/>
      <c r="B296" s="578" t="s">
        <v>1058</v>
      </c>
      <c r="C296" s="574"/>
      <c r="D296" s="574"/>
      <c r="E296" s="574"/>
      <c r="F296" s="574"/>
    </row>
    <row r="297" spans="1:6">
      <c r="A297" s="594"/>
      <c r="B297" s="578" t="s">
        <v>1059</v>
      </c>
      <c r="C297" s="574"/>
      <c r="D297" s="574"/>
      <c r="E297" s="574"/>
      <c r="F297" s="574"/>
    </row>
    <row r="298" spans="1:6" ht="30">
      <c r="A298" s="594"/>
      <c r="B298" s="578" t="s">
        <v>1060</v>
      </c>
      <c r="C298" s="574"/>
      <c r="D298" s="574"/>
      <c r="E298" s="574"/>
      <c r="F298" s="574"/>
    </row>
    <row r="299" spans="1:6">
      <c r="A299" s="594"/>
      <c r="B299" s="581" t="s">
        <v>1061</v>
      </c>
      <c r="C299" s="574"/>
      <c r="D299" s="574"/>
      <c r="E299" s="574"/>
      <c r="F299" s="574"/>
    </row>
    <row r="300" spans="1:6">
      <c r="A300" s="594"/>
      <c r="B300" s="578" t="s">
        <v>1062</v>
      </c>
      <c r="C300" s="574"/>
      <c r="D300" s="574"/>
      <c r="E300" s="574"/>
      <c r="F300" s="574"/>
    </row>
    <row r="301" spans="1:6">
      <c r="A301" s="594"/>
      <c r="B301" s="578" t="s">
        <v>1063</v>
      </c>
      <c r="C301" s="574"/>
      <c r="D301" s="574"/>
      <c r="E301" s="574"/>
      <c r="F301" s="574"/>
    </row>
    <row r="302" spans="1:6">
      <c r="A302" s="594"/>
      <c r="B302" s="578" t="s">
        <v>1064</v>
      </c>
      <c r="C302" s="574"/>
      <c r="D302" s="574"/>
      <c r="E302" s="574"/>
      <c r="F302" s="574"/>
    </row>
    <row r="303" spans="1:6">
      <c r="A303" s="594"/>
      <c r="B303" s="578" t="s">
        <v>1065</v>
      </c>
      <c r="C303" s="574"/>
      <c r="D303" s="574"/>
      <c r="E303" s="574"/>
      <c r="F303" s="574"/>
    </row>
    <row r="304" spans="1:6" ht="30">
      <c r="A304" s="594"/>
      <c r="B304" s="578" t="s">
        <v>1066</v>
      </c>
      <c r="C304" s="574"/>
      <c r="D304" s="574"/>
      <c r="E304" s="574"/>
      <c r="F304" s="574"/>
    </row>
    <row r="305" spans="1:6" ht="60">
      <c r="A305" s="594"/>
      <c r="B305" s="578" t="s">
        <v>1067</v>
      </c>
      <c r="C305" s="574"/>
      <c r="D305" s="574"/>
      <c r="E305" s="574"/>
      <c r="F305" s="574"/>
    </row>
    <row r="306" spans="1:6">
      <c r="A306" s="594"/>
      <c r="B306" s="578" t="s">
        <v>1068</v>
      </c>
      <c r="C306" s="574"/>
      <c r="D306" s="574"/>
      <c r="E306" s="574"/>
      <c r="F306" s="574"/>
    </row>
    <row r="307" spans="1:6">
      <c r="A307" s="594"/>
      <c r="B307" s="578" t="s">
        <v>1069</v>
      </c>
      <c r="C307" s="574"/>
      <c r="D307" s="574"/>
      <c r="E307" s="574"/>
      <c r="F307" s="574"/>
    </row>
    <row r="308" spans="1:6">
      <c r="A308" s="594"/>
      <c r="B308" s="578" t="s">
        <v>1070</v>
      </c>
      <c r="C308" s="574"/>
      <c r="D308" s="574"/>
      <c r="E308" s="574"/>
      <c r="F308" s="574"/>
    </row>
    <row r="309" spans="1:6" ht="30">
      <c r="A309" s="594"/>
      <c r="B309" s="578" t="s">
        <v>1071</v>
      </c>
      <c r="C309" s="574"/>
      <c r="D309" s="574"/>
      <c r="E309" s="574"/>
      <c r="F309" s="574"/>
    </row>
    <row r="310" spans="1:6">
      <c r="A310" s="594"/>
      <c r="B310" s="578" t="s">
        <v>1072</v>
      </c>
      <c r="C310" s="574"/>
      <c r="D310" s="574"/>
      <c r="E310" s="574"/>
      <c r="F310" s="574"/>
    </row>
    <row r="311" spans="1:6">
      <c r="A311" s="594"/>
      <c r="B311" s="578" t="s">
        <v>1073</v>
      </c>
      <c r="C311" s="574"/>
      <c r="D311" s="574"/>
      <c r="E311" s="574"/>
      <c r="F311" s="574"/>
    </row>
    <row r="312" spans="1:6" ht="30">
      <c r="A312" s="594"/>
      <c r="B312" s="578" t="s">
        <v>1074</v>
      </c>
      <c r="C312" s="574" t="s">
        <v>42</v>
      </c>
      <c r="D312" s="574">
        <v>2</v>
      </c>
      <c r="E312" s="582"/>
      <c r="F312" s="582">
        <f>D312*E312</f>
        <v>0</v>
      </c>
    </row>
    <row r="313" spans="1:6">
      <c r="A313" s="186"/>
      <c r="B313" s="186"/>
      <c r="C313" s="186"/>
      <c r="D313" s="186"/>
      <c r="E313" s="186"/>
      <c r="F313" s="186"/>
    </row>
    <row r="314" spans="1:6" ht="30">
      <c r="A314" s="594" t="s">
        <v>311</v>
      </c>
      <c r="B314" s="580" t="s">
        <v>1075</v>
      </c>
      <c r="C314" s="574"/>
      <c r="D314" s="574"/>
      <c r="E314" s="574"/>
      <c r="F314" s="574"/>
    </row>
    <row r="315" spans="1:6">
      <c r="A315" s="594"/>
      <c r="B315" s="578" t="s">
        <v>1076</v>
      </c>
      <c r="C315" s="574"/>
      <c r="D315" s="574"/>
      <c r="E315" s="574"/>
      <c r="F315" s="574"/>
    </row>
    <row r="316" spans="1:6" ht="30">
      <c r="A316" s="594"/>
      <c r="B316" s="578" t="s">
        <v>1077</v>
      </c>
      <c r="C316" s="574"/>
      <c r="D316" s="574"/>
      <c r="E316" s="574"/>
      <c r="F316" s="574"/>
    </row>
    <row r="317" spans="1:6">
      <c r="A317" s="594"/>
      <c r="B317" s="578" t="s">
        <v>1078</v>
      </c>
      <c r="C317" s="574"/>
      <c r="D317" s="574"/>
      <c r="E317" s="574"/>
      <c r="F317" s="574"/>
    </row>
    <row r="318" spans="1:6" ht="30">
      <c r="A318" s="594"/>
      <c r="B318" s="578" t="s">
        <v>1079</v>
      </c>
      <c r="C318" s="574"/>
      <c r="D318" s="574"/>
      <c r="E318" s="574"/>
      <c r="F318" s="574"/>
    </row>
    <row r="319" spans="1:6">
      <c r="A319" s="594"/>
      <c r="B319" s="578" t="s">
        <v>1080</v>
      </c>
      <c r="C319" s="574"/>
      <c r="D319" s="574"/>
      <c r="E319" s="574"/>
      <c r="F319" s="574"/>
    </row>
    <row r="320" spans="1:6">
      <c r="A320" s="594"/>
      <c r="B320" s="578" t="s">
        <v>1081</v>
      </c>
      <c r="C320" s="574"/>
      <c r="D320" s="574"/>
      <c r="E320" s="574"/>
      <c r="F320" s="574"/>
    </row>
    <row r="321" spans="1:6" ht="30">
      <c r="A321" s="594"/>
      <c r="B321" s="578" t="s">
        <v>1082</v>
      </c>
      <c r="C321" s="574"/>
      <c r="D321" s="574"/>
      <c r="E321" s="574"/>
      <c r="F321" s="574"/>
    </row>
    <row r="322" spans="1:6" ht="30">
      <c r="A322" s="594"/>
      <c r="B322" s="578" t="s">
        <v>1083</v>
      </c>
      <c r="C322" s="574"/>
      <c r="D322" s="574"/>
      <c r="E322" s="574"/>
      <c r="F322" s="574"/>
    </row>
    <row r="323" spans="1:6" ht="30">
      <c r="A323" s="594"/>
      <c r="B323" s="578" t="s">
        <v>1084</v>
      </c>
      <c r="C323" s="574"/>
      <c r="D323" s="574"/>
      <c r="E323" s="574"/>
      <c r="F323" s="574"/>
    </row>
    <row r="324" spans="1:6" ht="30">
      <c r="A324" s="594"/>
      <c r="B324" s="578" t="s">
        <v>1085</v>
      </c>
      <c r="C324" s="574"/>
      <c r="D324" s="574"/>
      <c r="E324" s="574"/>
      <c r="F324" s="574"/>
    </row>
    <row r="325" spans="1:6">
      <c r="A325" s="594"/>
      <c r="B325" s="578" t="s">
        <v>1086</v>
      </c>
      <c r="C325" s="574"/>
      <c r="D325" s="574"/>
      <c r="E325" s="574"/>
      <c r="F325" s="574"/>
    </row>
    <row r="326" spans="1:6">
      <c r="A326" s="594"/>
      <c r="B326" s="578" t="s">
        <v>1087</v>
      </c>
      <c r="C326" s="574"/>
      <c r="D326" s="574"/>
      <c r="E326" s="574"/>
      <c r="F326" s="574"/>
    </row>
    <row r="327" spans="1:6">
      <c r="A327" s="594"/>
      <c r="B327" s="578" t="s">
        <v>1088</v>
      </c>
      <c r="C327" s="574"/>
      <c r="D327" s="574"/>
      <c r="E327" s="574"/>
      <c r="F327" s="574"/>
    </row>
    <row r="328" spans="1:6" ht="30">
      <c r="A328" s="594"/>
      <c r="B328" s="578" t="s">
        <v>1089</v>
      </c>
      <c r="C328" s="574"/>
      <c r="D328" s="574"/>
      <c r="E328" s="574"/>
      <c r="F328" s="574"/>
    </row>
    <row r="329" spans="1:6" ht="45">
      <c r="A329" s="594"/>
      <c r="B329" s="578" t="s">
        <v>1090</v>
      </c>
      <c r="C329" s="574"/>
      <c r="D329" s="574"/>
      <c r="E329" s="574"/>
      <c r="F329" s="574"/>
    </row>
    <row r="330" spans="1:6" ht="30">
      <c r="A330" s="594"/>
      <c r="B330" s="578" t="s">
        <v>1091</v>
      </c>
      <c r="C330" s="574"/>
      <c r="D330" s="574"/>
      <c r="E330" s="574"/>
      <c r="F330" s="574"/>
    </row>
    <row r="331" spans="1:6">
      <c r="A331" s="594"/>
      <c r="B331" s="578" t="s">
        <v>1092</v>
      </c>
      <c r="C331" s="574"/>
      <c r="D331" s="574"/>
      <c r="E331" s="574"/>
      <c r="F331" s="574"/>
    </row>
    <row r="332" spans="1:6">
      <c r="A332" s="594"/>
      <c r="B332" s="578" t="s">
        <v>1093</v>
      </c>
      <c r="C332" s="574"/>
      <c r="D332" s="574"/>
      <c r="E332" s="574"/>
      <c r="F332" s="574"/>
    </row>
    <row r="333" spans="1:6">
      <c r="A333" s="594"/>
      <c r="B333" s="578" t="s">
        <v>1094</v>
      </c>
      <c r="C333" s="574"/>
      <c r="D333" s="574"/>
      <c r="E333" s="574"/>
      <c r="F333" s="574"/>
    </row>
    <row r="334" spans="1:6" ht="30">
      <c r="A334" s="594"/>
      <c r="B334" s="578" t="s">
        <v>1095</v>
      </c>
      <c r="C334" s="574"/>
      <c r="D334" s="574"/>
      <c r="E334" s="574"/>
      <c r="F334" s="574"/>
    </row>
    <row r="335" spans="1:6" ht="30">
      <c r="A335" s="594"/>
      <c r="B335" s="578" t="s">
        <v>1096</v>
      </c>
      <c r="C335" s="574"/>
      <c r="D335" s="574"/>
      <c r="E335" s="574"/>
      <c r="F335" s="574"/>
    </row>
    <row r="336" spans="1:6">
      <c r="A336" s="594"/>
      <c r="B336" s="578" t="s">
        <v>1097</v>
      </c>
      <c r="C336" s="574"/>
      <c r="D336" s="574"/>
      <c r="E336" s="574"/>
      <c r="F336" s="574"/>
    </row>
    <row r="337" spans="1:6">
      <c r="A337" s="594"/>
      <c r="B337" s="578" t="s">
        <v>1098</v>
      </c>
      <c r="C337" s="574"/>
      <c r="D337" s="574"/>
      <c r="E337" s="574"/>
      <c r="F337" s="574"/>
    </row>
    <row r="338" spans="1:6">
      <c r="A338" s="594"/>
      <c r="B338" s="578" t="s">
        <v>1099</v>
      </c>
      <c r="C338" s="574"/>
      <c r="D338" s="574"/>
      <c r="E338" s="574"/>
      <c r="F338" s="574"/>
    </row>
    <row r="339" spans="1:6">
      <c r="A339" s="594"/>
      <c r="B339" s="578" t="s">
        <v>1100</v>
      </c>
      <c r="C339" s="574"/>
      <c r="D339" s="574"/>
      <c r="E339" s="574"/>
      <c r="F339" s="574"/>
    </row>
    <row r="340" spans="1:6">
      <c r="A340" s="594"/>
      <c r="B340" s="578" t="s">
        <v>1101</v>
      </c>
      <c r="C340" s="574"/>
      <c r="D340" s="574"/>
      <c r="E340" s="574"/>
      <c r="F340" s="574"/>
    </row>
    <row r="341" spans="1:6" ht="30">
      <c r="A341" s="594"/>
      <c r="B341" s="578" t="s">
        <v>1102</v>
      </c>
      <c r="C341" s="574" t="s">
        <v>42</v>
      </c>
      <c r="D341" s="574">
        <v>1</v>
      </c>
      <c r="E341" s="582"/>
      <c r="F341" s="582">
        <f>D341*E341</f>
        <v>0</v>
      </c>
    </row>
    <row r="342" spans="1:6">
      <c r="A342" s="618"/>
      <c r="B342" s="619"/>
      <c r="C342" s="576"/>
      <c r="D342" s="576"/>
      <c r="E342" s="620"/>
      <c r="F342" s="620"/>
    </row>
    <row r="343" spans="1:6" ht="30">
      <c r="A343" s="594" t="s">
        <v>312</v>
      </c>
      <c r="B343" s="580" t="s">
        <v>1103</v>
      </c>
      <c r="C343" s="574"/>
      <c r="D343" s="574"/>
      <c r="E343" s="574"/>
      <c r="F343" s="574"/>
    </row>
    <row r="344" spans="1:6" ht="285">
      <c r="A344" s="594"/>
      <c r="B344" s="579" t="s">
        <v>1104</v>
      </c>
      <c r="C344" s="574" t="s">
        <v>42</v>
      </c>
      <c r="D344" s="574">
        <v>1</v>
      </c>
      <c r="E344" s="582"/>
      <c r="F344" s="582">
        <f>D344*E344</f>
        <v>0</v>
      </c>
    </row>
    <row r="345" spans="1:6">
      <c r="A345" s="575"/>
      <c r="B345" s="619"/>
      <c r="C345" s="576"/>
      <c r="D345" s="576"/>
      <c r="E345" s="620"/>
      <c r="F345" s="620"/>
    </row>
    <row r="346" spans="1:6" ht="15.75" thickBot="1">
      <c r="A346" s="584"/>
      <c r="B346" s="584"/>
      <c r="C346" s="574"/>
      <c r="D346" s="574"/>
      <c r="E346" s="573" t="s">
        <v>15</v>
      </c>
      <c r="F346" s="586">
        <f>SUM(F298:F344)</f>
        <v>0</v>
      </c>
    </row>
    <row r="347" spans="1:6" ht="30.75" thickBot="1">
      <c r="A347" s="621" t="s">
        <v>264</v>
      </c>
      <c r="B347" s="622" t="s">
        <v>1105</v>
      </c>
      <c r="C347" s="623"/>
      <c r="D347" s="624"/>
      <c r="E347" s="624"/>
      <c r="F347" s="625"/>
    </row>
    <row r="348" spans="1:6" ht="15.75">
      <c r="A348" s="626"/>
      <c r="B348" s="627"/>
      <c r="C348" s="627"/>
      <c r="D348" s="628"/>
      <c r="E348" s="628"/>
      <c r="F348" s="629"/>
    </row>
    <row r="349" spans="1:6" ht="228">
      <c r="A349" s="630"/>
      <c r="B349" s="631" t="s">
        <v>1106</v>
      </c>
      <c r="C349" s="632"/>
      <c r="D349" s="633"/>
      <c r="E349" s="633"/>
      <c r="F349" s="634"/>
    </row>
    <row r="350" spans="1:6" ht="30">
      <c r="A350" s="635" t="s">
        <v>9</v>
      </c>
      <c r="B350" s="636" t="s">
        <v>1107</v>
      </c>
      <c r="C350" s="637"/>
      <c r="D350" s="638"/>
      <c r="E350" s="638"/>
      <c r="F350" s="639"/>
    </row>
    <row r="351" spans="1:6" ht="15.75">
      <c r="A351" s="635"/>
      <c r="B351" s="631" t="s">
        <v>1108</v>
      </c>
      <c r="C351" s="637"/>
      <c r="D351" s="638"/>
      <c r="E351" s="638"/>
      <c r="F351" s="639"/>
    </row>
    <row r="352" spans="1:6" ht="15.75">
      <c r="A352" s="635"/>
      <c r="B352" s="631" t="s">
        <v>1109</v>
      </c>
      <c r="C352" s="637"/>
      <c r="D352" s="638"/>
      <c r="E352" s="638"/>
      <c r="F352" s="639"/>
    </row>
    <row r="353" spans="1:6" ht="15.75">
      <c r="A353" s="635"/>
      <c r="B353" s="631" t="s">
        <v>1110</v>
      </c>
      <c r="C353" s="637"/>
      <c r="D353" s="638"/>
      <c r="E353" s="638"/>
      <c r="F353" s="639"/>
    </row>
    <row r="354" spans="1:6" ht="15.75">
      <c r="A354" s="635"/>
      <c r="B354" s="631" t="s">
        <v>1111</v>
      </c>
      <c r="C354" s="637"/>
      <c r="D354" s="638"/>
      <c r="E354" s="638"/>
      <c r="F354" s="639" t="str">
        <f>IF(E354="","",D354*E354)</f>
        <v/>
      </c>
    </row>
    <row r="355" spans="1:6" ht="15.75">
      <c r="A355" s="635"/>
      <c r="B355" s="631" t="s">
        <v>1112</v>
      </c>
      <c r="C355" s="637"/>
      <c r="D355" s="638"/>
      <c r="E355" s="638"/>
      <c r="F355" s="639"/>
    </row>
    <row r="356" spans="1:6" ht="15.75">
      <c r="A356" s="635"/>
      <c r="B356" s="631" t="s">
        <v>1113</v>
      </c>
      <c r="C356" s="637"/>
      <c r="D356" s="638"/>
      <c r="E356" s="638"/>
      <c r="F356" s="639"/>
    </row>
    <row r="357" spans="1:6" ht="15.75">
      <c r="A357" s="635"/>
      <c r="B357" s="631" t="s">
        <v>1114</v>
      </c>
      <c r="C357" s="637"/>
      <c r="D357" s="638"/>
      <c r="E357" s="638"/>
      <c r="F357" s="639"/>
    </row>
    <row r="358" spans="1:6" ht="42.75">
      <c r="A358" s="635"/>
      <c r="B358" s="631" t="s">
        <v>1115</v>
      </c>
      <c r="C358" s="637"/>
      <c r="D358" s="638"/>
      <c r="E358" s="638"/>
      <c r="F358" s="639"/>
    </row>
    <row r="359" spans="1:6" ht="15.75">
      <c r="A359" s="599"/>
      <c r="B359" s="631" t="s">
        <v>1116</v>
      </c>
      <c r="C359" s="637"/>
      <c r="D359" s="638"/>
      <c r="E359" s="638"/>
      <c r="F359" s="639" t="str">
        <f t="shared" ref="F359:F387" si="2">IF(E359="","",D359*E359)</f>
        <v/>
      </c>
    </row>
    <row r="360" spans="1:6" ht="15.75">
      <c r="A360" s="599"/>
      <c r="B360" s="640" t="s">
        <v>1117</v>
      </c>
      <c r="C360" s="637"/>
      <c r="D360" s="638"/>
      <c r="E360" s="638"/>
      <c r="F360" s="639" t="str">
        <f t="shared" si="2"/>
        <v/>
      </c>
    </row>
    <row r="361" spans="1:6" ht="15.75">
      <c r="A361" s="599"/>
      <c r="B361" s="631" t="s">
        <v>1118</v>
      </c>
      <c r="C361" s="637"/>
      <c r="D361" s="638"/>
      <c r="E361" s="638"/>
      <c r="F361" s="639" t="str">
        <f t="shared" si="2"/>
        <v/>
      </c>
    </row>
    <row r="362" spans="1:6" ht="28.5">
      <c r="A362" s="599"/>
      <c r="B362" s="631" t="s">
        <v>1119</v>
      </c>
      <c r="C362" s="637"/>
      <c r="D362" s="638"/>
      <c r="E362" s="638"/>
      <c r="F362" s="639" t="str">
        <f t="shared" si="2"/>
        <v/>
      </c>
    </row>
    <row r="363" spans="1:6" ht="28.5">
      <c r="A363" s="599"/>
      <c r="B363" s="631" t="s">
        <v>1120</v>
      </c>
      <c r="C363" s="637"/>
      <c r="D363" s="638"/>
      <c r="E363" s="638"/>
      <c r="F363" s="639" t="str">
        <f t="shared" si="2"/>
        <v/>
      </c>
    </row>
    <row r="364" spans="1:6" ht="71.25">
      <c r="A364" s="599"/>
      <c r="B364" s="631" t="s">
        <v>1121</v>
      </c>
      <c r="C364" s="641" t="s">
        <v>42</v>
      </c>
      <c r="D364" s="641">
        <v>3</v>
      </c>
      <c r="E364" s="613"/>
      <c r="F364" s="639" t="str">
        <f>IF(E364="","",D364*E364)</f>
        <v/>
      </c>
    </row>
    <row r="365" spans="1:6">
      <c r="A365" s="642"/>
      <c r="B365" s="642"/>
      <c r="C365" s="642"/>
      <c r="D365" s="642"/>
      <c r="E365" s="642"/>
      <c r="F365" s="642"/>
    </row>
    <row r="366" spans="1:6" ht="30">
      <c r="A366" s="635" t="s">
        <v>11</v>
      </c>
      <c r="B366" s="636" t="s">
        <v>1122</v>
      </c>
      <c r="C366" s="637"/>
      <c r="D366" s="638"/>
      <c r="E366" s="638"/>
      <c r="F366" s="639"/>
    </row>
    <row r="367" spans="1:6" ht="15.75">
      <c r="A367" s="635"/>
      <c r="B367" s="631" t="s">
        <v>1108</v>
      </c>
      <c r="C367" s="637"/>
      <c r="D367" s="638"/>
      <c r="E367" s="638"/>
      <c r="F367" s="639"/>
    </row>
    <row r="368" spans="1:6" ht="15.75">
      <c r="A368" s="635"/>
      <c r="B368" s="631" t="s">
        <v>1109</v>
      </c>
      <c r="C368" s="637"/>
      <c r="D368" s="638"/>
      <c r="E368" s="638"/>
      <c r="F368" s="639"/>
    </row>
    <row r="369" spans="1:6" ht="15.75">
      <c r="A369" s="635"/>
      <c r="B369" s="631" t="s">
        <v>1110</v>
      </c>
      <c r="C369" s="637"/>
      <c r="D369" s="638"/>
      <c r="E369" s="638"/>
      <c r="F369" s="639"/>
    </row>
    <row r="370" spans="1:6" ht="15.75">
      <c r="A370" s="635"/>
      <c r="B370" s="631" t="s">
        <v>1111</v>
      </c>
      <c r="C370" s="637"/>
      <c r="D370" s="638"/>
      <c r="E370" s="638"/>
      <c r="F370" s="639" t="str">
        <f>IF(E370="","",D370*E370)</f>
        <v/>
      </c>
    </row>
    <row r="371" spans="1:6" ht="15.75">
      <c r="A371" s="635"/>
      <c r="B371" s="631" t="s">
        <v>1112</v>
      </c>
      <c r="C371" s="637"/>
      <c r="D371" s="638"/>
      <c r="E371" s="638"/>
      <c r="F371" s="639"/>
    </row>
    <row r="372" spans="1:6" ht="15.75">
      <c r="A372" s="635"/>
      <c r="B372" s="631" t="s">
        <v>1123</v>
      </c>
      <c r="C372" s="637"/>
      <c r="D372" s="638"/>
      <c r="E372" s="638"/>
      <c r="F372" s="639"/>
    </row>
    <row r="373" spans="1:6" ht="15.75">
      <c r="A373" s="635"/>
      <c r="B373" s="631" t="s">
        <v>1124</v>
      </c>
      <c r="C373" s="637"/>
      <c r="D373" s="638"/>
      <c r="E373" s="638"/>
      <c r="F373" s="639"/>
    </row>
    <row r="374" spans="1:6" ht="42.75">
      <c r="A374" s="635"/>
      <c r="B374" s="631" t="s">
        <v>1115</v>
      </c>
      <c r="C374" s="637"/>
      <c r="D374" s="638"/>
      <c r="E374" s="638"/>
      <c r="F374" s="639"/>
    </row>
    <row r="375" spans="1:6" ht="15.75">
      <c r="A375" s="599"/>
      <c r="B375" s="631" t="s">
        <v>1116</v>
      </c>
      <c r="C375" s="637"/>
      <c r="D375" s="638"/>
      <c r="E375" s="638"/>
      <c r="F375" s="639" t="str">
        <f t="shared" ref="F375:F379" si="3">IF(E375="","",D375*E375)</f>
        <v/>
      </c>
    </row>
    <row r="376" spans="1:6" ht="15.75">
      <c r="A376" s="599"/>
      <c r="B376" s="640" t="s">
        <v>1125</v>
      </c>
      <c r="C376" s="637"/>
      <c r="D376" s="638"/>
      <c r="E376" s="638"/>
      <c r="F376" s="639" t="str">
        <f t="shared" si="3"/>
        <v/>
      </c>
    </row>
    <row r="377" spans="1:6" ht="15.75">
      <c r="A377" s="599"/>
      <c r="B377" s="631" t="s">
        <v>1126</v>
      </c>
      <c r="C377" s="637"/>
      <c r="D377" s="638"/>
      <c r="E377" s="638"/>
      <c r="F377" s="639" t="str">
        <f t="shared" si="3"/>
        <v/>
      </c>
    </row>
    <row r="378" spans="1:6" ht="15.75">
      <c r="A378" s="599"/>
      <c r="B378" s="631" t="s">
        <v>1127</v>
      </c>
      <c r="C378" s="637"/>
      <c r="D378" s="638"/>
      <c r="E378" s="638"/>
      <c r="F378" s="639" t="str">
        <f t="shared" si="3"/>
        <v/>
      </c>
    </row>
    <row r="379" spans="1:6" ht="28.5">
      <c r="A379" s="599"/>
      <c r="B379" s="631" t="s">
        <v>1120</v>
      </c>
      <c r="C379" s="637"/>
      <c r="D379" s="638"/>
      <c r="E379" s="638"/>
      <c r="F379" s="639" t="str">
        <f t="shared" si="3"/>
        <v/>
      </c>
    </row>
    <row r="380" spans="1:6" ht="71.25">
      <c r="A380" s="599"/>
      <c r="B380" s="631" t="s">
        <v>1121</v>
      </c>
      <c r="C380" s="641" t="s">
        <v>42</v>
      </c>
      <c r="D380" s="641">
        <v>2</v>
      </c>
      <c r="E380" s="613"/>
      <c r="F380" s="639" t="str">
        <f>IF(E380="","",D380*E380)</f>
        <v/>
      </c>
    </row>
    <row r="381" spans="1:6">
      <c r="A381" s="642"/>
      <c r="B381" s="642"/>
      <c r="C381" s="642"/>
      <c r="D381" s="642"/>
      <c r="E381" s="642"/>
      <c r="F381" s="642"/>
    </row>
    <row r="382" spans="1:6" ht="99.75">
      <c r="A382" s="643" t="s">
        <v>12</v>
      </c>
      <c r="B382" s="644" t="s">
        <v>1128</v>
      </c>
      <c r="C382" s="601" t="s">
        <v>42</v>
      </c>
      <c r="D382" s="602">
        <v>5</v>
      </c>
      <c r="E382" s="613"/>
      <c r="F382" s="645" t="str">
        <f t="shared" si="2"/>
        <v/>
      </c>
    </row>
    <row r="383" spans="1:6">
      <c r="A383" s="599"/>
      <c r="B383" s="614" t="s">
        <v>1129</v>
      </c>
      <c r="C383" s="601"/>
      <c r="D383" s="602"/>
      <c r="E383" s="613"/>
      <c r="F383" s="645" t="str">
        <f t="shared" si="2"/>
        <v/>
      </c>
    </row>
    <row r="384" spans="1:6">
      <c r="A384" s="599"/>
      <c r="B384" s="614" t="s">
        <v>1130</v>
      </c>
      <c r="C384" s="601"/>
      <c r="D384" s="602"/>
      <c r="E384" s="613"/>
      <c r="F384" s="645" t="str">
        <f t="shared" si="2"/>
        <v/>
      </c>
    </row>
    <row r="385" spans="1:6" ht="28.5">
      <c r="A385" s="599"/>
      <c r="B385" s="614" t="s">
        <v>1131</v>
      </c>
      <c r="C385" s="601"/>
      <c r="D385" s="602"/>
      <c r="E385" s="613"/>
      <c r="F385" s="645" t="str">
        <f t="shared" si="2"/>
        <v/>
      </c>
    </row>
    <row r="386" spans="1:6">
      <c r="A386" s="599"/>
      <c r="B386" s="614" t="s">
        <v>1132</v>
      </c>
      <c r="C386" s="601"/>
      <c r="D386" s="602"/>
      <c r="E386" s="613"/>
      <c r="F386" s="645" t="str">
        <f t="shared" si="2"/>
        <v/>
      </c>
    </row>
    <row r="387" spans="1:6" ht="28.5">
      <c r="A387" s="599"/>
      <c r="B387" s="644" t="s">
        <v>1133</v>
      </c>
      <c r="C387" s="601"/>
      <c r="D387" s="602"/>
      <c r="E387" s="613"/>
      <c r="F387" s="645" t="str">
        <f t="shared" si="2"/>
        <v/>
      </c>
    </row>
    <row r="388" spans="1:6">
      <c r="A388" s="646"/>
      <c r="B388" s="646"/>
      <c r="C388" s="646"/>
      <c r="D388" s="646"/>
      <c r="E388" s="646"/>
      <c r="F388" s="646"/>
    </row>
    <row r="389" spans="1:6" ht="85.5">
      <c r="A389" s="630" t="s">
        <v>92</v>
      </c>
      <c r="B389" s="647" t="s">
        <v>1134</v>
      </c>
      <c r="C389" s="648" t="s">
        <v>42</v>
      </c>
      <c r="D389" s="649">
        <v>15</v>
      </c>
      <c r="E389" s="650"/>
      <c r="F389" s="645" t="str">
        <f>IF(E389="","",D389*E389)</f>
        <v/>
      </c>
    </row>
    <row r="390" spans="1:6">
      <c r="A390" s="635"/>
      <c r="B390" s="647" t="s">
        <v>1135</v>
      </c>
      <c r="C390" s="648"/>
      <c r="D390" s="649"/>
      <c r="E390" s="650"/>
      <c r="F390" s="645" t="str">
        <f>IF(E390="","",D390*E390)</f>
        <v/>
      </c>
    </row>
    <row r="391" spans="1:6">
      <c r="A391" s="635"/>
      <c r="B391" s="651" t="s">
        <v>1136</v>
      </c>
      <c r="C391" s="648"/>
      <c r="D391" s="649"/>
      <c r="E391" s="650"/>
      <c r="F391" s="645" t="str">
        <f t="shared" ref="F391:F426" si="4">IF(E391="","",D391*E391)</f>
        <v/>
      </c>
    </row>
    <row r="392" spans="1:6">
      <c r="A392" s="635"/>
      <c r="B392" s="647" t="s">
        <v>1137</v>
      </c>
      <c r="C392" s="648"/>
      <c r="D392" s="649"/>
      <c r="E392" s="650"/>
      <c r="F392" s="645" t="str">
        <f t="shared" si="4"/>
        <v/>
      </c>
    </row>
    <row r="393" spans="1:6" ht="28.5">
      <c r="A393" s="635"/>
      <c r="B393" s="647" t="s">
        <v>1138</v>
      </c>
      <c r="C393" s="648"/>
      <c r="D393" s="649"/>
      <c r="E393" s="650"/>
      <c r="F393" s="645" t="str">
        <f t="shared" si="4"/>
        <v/>
      </c>
    </row>
    <row r="394" spans="1:6" ht="28.5">
      <c r="A394" s="635"/>
      <c r="B394" s="647" t="s">
        <v>1139</v>
      </c>
      <c r="C394" s="648"/>
      <c r="D394" s="649"/>
      <c r="E394" s="650"/>
      <c r="F394" s="645" t="str">
        <f t="shared" si="4"/>
        <v/>
      </c>
    </row>
    <row r="395" spans="1:6">
      <c r="A395" s="646"/>
      <c r="B395" s="646"/>
      <c r="C395" s="646"/>
      <c r="D395" s="646"/>
      <c r="E395" s="646"/>
      <c r="F395" s="646"/>
    </row>
    <row r="396" spans="1:6" ht="199.5">
      <c r="A396" s="599" t="s">
        <v>93</v>
      </c>
      <c r="B396" s="652" t="s">
        <v>1140</v>
      </c>
      <c r="C396" s="653"/>
      <c r="D396" s="654"/>
      <c r="E396" s="655"/>
      <c r="F396" s="656">
        <f>D396*E396</f>
        <v>0</v>
      </c>
    </row>
    <row r="397" spans="1:6" ht="28.5">
      <c r="A397" s="657"/>
      <c r="B397" s="652" t="s">
        <v>1141</v>
      </c>
      <c r="C397" s="658" t="s">
        <v>1142</v>
      </c>
      <c r="D397" s="659">
        <v>3</v>
      </c>
      <c r="E397" s="655"/>
      <c r="F397" s="656">
        <f>D397*E397</f>
        <v>0</v>
      </c>
    </row>
    <row r="398" spans="1:6" ht="28.5">
      <c r="A398" s="657"/>
      <c r="B398" s="652" t="s">
        <v>1143</v>
      </c>
      <c r="C398" s="658" t="s">
        <v>1142</v>
      </c>
      <c r="D398" s="659">
        <v>12</v>
      </c>
      <c r="E398" s="655"/>
      <c r="F398" s="656">
        <f>D398*E398</f>
        <v>0</v>
      </c>
    </row>
    <row r="399" spans="1:6">
      <c r="A399" s="646"/>
      <c r="B399" s="646"/>
      <c r="C399" s="646"/>
      <c r="D399" s="646"/>
      <c r="E399" s="646"/>
      <c r="F399" s="646"/>
    </row>
    <row r="400" spans="1:6" ht="199.5">
      <c r="A400" s="635" t="s">
        <v>94</v>
      </c>
      <c r="B400" s="652" t="s">
        <v>1144</v>
      </c>
      <c r="C400" s="653"/>
      <c r="D400" s="654"/>
      <c r="E400" s="655"/>
      <c r="F400" s="645" t="str">
        <f>IF(E400="","",D400*E400)</f>
        <v/>
      </c>
    </row>
    <row r="401" spans="1:6" ht="28.5">
      <c r="A401" s="660"/>
      <c r="B401" s="652" t="s">
        <v>1145</v>
      </c>
      <c r="C401" s="658" t="s">
        <v>1142</v>
      </c>
      <c r="D401" s="659">
        <v>12</v>
      </c>
      <c r="E401" s="655"/>
      <c r="F401" s="645" t="str">
        <f>IF(E401="","",D401*E401)</f>
        <v/>
      </c>
    </row>
    <row r="402" spans="1:6">
      <c r="A402" s="646"/>
      <c r="B402" s="646"/>
      <c r="C402" s="646"/>
      <c r="D402" s="646"/>
      <c r="E402" s="646"/>
      <c r="F402" s="646"/>
    </row>
    <row r="403" spans="1:6" ht="42.75">
      <c r="A403" s="635" t="s">
        <v>95</v>
      </c>
      <c r="B403" s="661" t="s">
        <v>1146</v>
      </c>
      <c r="C403" s="648"/>
      <c r="D403" s="649"/>
      <c r="E403" s="662"/>
      <c r="F403" s="645" t="str">
        <f t="shared" si="4"/>
        <v/>
      </c>
    </row>
    <row r="404" spans="1:6">
      <c r="A404" s="635"/>
      <c r="B404" s="661" t="s">
        <v>1147</v>
      </c>
      <c r="C404" s="648" t="s">
        <v>1142</v>
      </c>
      <c r="D404" s="649">
        <v>18</v>
      </c>
      <c r="E404" s="662"/>
      <c r="F404" s="645" t="str">
        <f t="shared" si="4"/>
        <v/>
      </c>
    </row>
    <row r="405" spans="1:6">
      <c r="A405" s="646"/>
      <c r="B405" s="646"/>
      <c r="C405" s="646"/>
      <c r="D405" s="646"/>
      <c r="E405" s="646"/>
      <c r="F405" s="646"/>
    </row>
    <row r="406" spans="1:6" ht="156.75">
      <c r="A406" s="630" t="s">
        <v>1148</v>
      </c>
      <c r="B406" s="644" t="s">
        <v>1149</v>
      </c>
      <c r="C406" s="663"/>
      <c r="D406" s="662"/>
      <c r="E406" s="662"/>
      <c r="F406" s="645" t="str">
        <f t="shared" si="4"/>
        <v/>
      </c>
    </row>
    <row r="407" spans="1:6">
      <c r="A407" s="635"/>
      <c r="B407" s="647" t="s">
        <v>1150</v>
      </c>
      <c r="C407" s="663" t="s">
        <v>1142</v>
      </c>
      <c r="D407" s="662">
        <v>5</v>
      </c>
      <c r="E407" s="662"/>
      <c r="F407" s="645" t="str">
        <f t="shared" si="4"/>
        <v/>
      </c>
    </row>
    <row r="408" spans="1:6">
      <c r="A408" s="646"/>
      <c r="B408" s="646"/>
      <c r="C408" s="646"/>
      <c r="D408" s="646"/>
      <c r="E408" s="646"/>
      <c r="F408" s="646"/>
    </row>
    <row r="409" spans="1:6" ht="57">
      <c r="A409" s="664" t="s">
        <v>1151</v>
      </c>
      <c r="B409" s="600" t="s">
        <v>1152</v>
      </c>
      <c r="C409" s="663"/>
      <c r="D409" s="662"/>
      <c r="E409" s="662"/>
      <c r="F409" s="645">
        <f>D409*E409</f>
        <v>0</v>
      </c>
    </row>
    <row r="410" spans="1:6">
      <c r="A410" s="660"/>
      <c r="B410" s="600" t="s">
        <v>1153</v>
      </c>
      <c r="C410" s="665" t="s">
        <v>1142</v>
      </c>
      <c r="D410" s="602">
        <v>13</v>
      </c>
      <c r="E410" s="602"/>
      <c r="F410" s="645">
        <f>D410*E410</f>
        <v>0</v>
      </c>
    </row>
    <row r="411" spans="1:6">
      <c r="A411" s="646"/>
      <c r="B411" s="646"/>
      <c r="C411" s="646"/>
      <c r="D411" s="646"/>
      <c r="E411" s="646"/>
      <c r="F411" s="646"/>
    </row>
    <row r="412" spans="1:6" ht="85.5">
      <c r="A412" s="635" t="s">
        <v>1154</v>
      </c>
      <c r="B412" s="661" t="s">
        <v>1155</v>
      </c>
      <c r="C412" s="666"/>
      <c r="D412" s="667"/>
      <c r="E412" s="667"/>
      <c r="F412" s="639" t="str">
        <f t="shared" si="4"/>
        <v/>
      </c>
    </row>
    <row r="413" spans="1:6">
      <c r="A413" s="635"/>
      <c r="B413" s="661" t="s">
        <v>1156</v>
      </c>
      <c r="C413" s="668" t="s">
        <v>991</v>
      </c>
      <c r="D413" s="662">
        <v>30</v>
      </c>
      <c r="E413" s="662"/>
      <c r="F413" s="639" t="str">
        <f>IF(E413="","",D413*E413)</f>
        <v/>
      </c>
    </row>
    <row r="414" spans="1:6">
      <c r="A414" s="669"/>
      <c r="B414" s="600" t="s">
        <v>1157</v>
      </c>
      <c r="C414" s="670" t="s">
        <v>991</v>
      </c>
      <c r="D414" s="602">
        <v>10</v>
      </c>
      <c r="E414" s="602"/>
      <c r="F414" s="645" t="str">
        <f>IF(E414="","",D414*E414)</f>
        <v/>
      </c>
    </row>
    <row r="415" spans="1:6">
      <c r="A415" s="669"/>
      <c r="B415" s="600" t="s">
        <v>1153</v>
      </c>
      <c r="C415" s="670" t="s">
        <v>991</v>
      </c>
      <c r="D415" s="602">
        <v>20</v>
      </c>
      <c r="E415" s="602"/>
      <c r="F415" s="645" t="str">
        <f>IF(E415="","",D415*E415)</f>
        <v/>
      </c>
    </row>
    <row r="416" spans="1:6">
      <c r="A416" s="646"/>
      <c r="B416" s="646"/>
      <c r="C416" s="646"/>
      <c r="D416" s="646"/>
      <c r="E416" s="646"/>
      <c r="F416" s="646"/>
    </row>
    <row r="417" spans="1:6" ht="71.25">
      <c r="A417" s="635" t="s">
        <v>1158</v>
      </c>
      <c r="B417" s="661" t="s">
        <v>1159</v>
      </c>
      <c r="C417" s="663"/>
      <c r="D417" s="662"/>
      <c r="E417" s="662"/>
      <c r="F417" s="639" t="str">
        <f t="shared" si="4"/>
        <v/>
      </c>
    </row>
    <row r="418" spans="1:6">
      <c r="A418" s="635"/>
      <c r="B418" s="661" t="s">
        <v>1156</v>
      </c>
      <c r="C418" s="663" t="s">
        <v>1142</v>
      </c>
      <c r="D418" s="662">
        <v>6</v>
      </c>
      <c r="E418" s="662"/>
      <c r="F418" s="639" t="str">
        <f t="shared" si="4"/>
        <v/>
      </c>
    </row>
    <row r="419" spans="1:6">
      <c r="A419" s="635"/>
      <c r="B419" s="661" t="s">
        <v>1157</v>
      </c>
      <c r="C419" s="663" t="s">
        <v>1142</v>
      </c>
      <c r="D419" s="662">
        <v>9</v>
      </c>
      <c r="E419" s="662"/>
      <c r="F419" s="639" t="str">
        <f t="shared" si="4"/>
        <v/>
      </c>
    </row>
    <row r="420" spans="1:6">
      <c r="A420" s="635"/>
      <c r="B420" s="661" t="s">
        <v>1153</v>
      </c>
      <c r="C420" s="663" t="s">
        <v>1142</v>
      </c>
      <c r="D420" s="662">
        <v>13</v>
      </c>
      <c r="E420" s="662"/>
      <c r="F420" s="639" t="str">
        <f t="shared" si="4"/>
        <v/>
      </c>
    </row>
    <row r="421" spans="1:6">
      <c r="A421" s="646"/>
      <c r="B421" s="646"/>
      <c r="C421" s="646"/>
      <c r="D421" s="646"/>
      <c r="E421" s="646"/>
      <c r="F421" s="646"/>
    </row>
    <row r="422" spans="1:6" ht="99.75">
      <c r="A422" s="635" t="s">
        <v>1160</v>
      </c>
      <c r="B422" s="661" t="s">
        <v>1161</v>
      </c>
      <c r="C422" s="663"/>
      <c r="D422" s="662"/>
      <c r="E422" s="662"/>
      <c r="F422" s="639" t="str">
        <f t="shared" si="4"/>
        <v/>
      </c>
    </row>
    <row r="423" spans="1:6">
      <c r="A423" s="635"/>
      <c r="B423" s="671" t="s">
        <v>1162</v>
      </c>
      <c r="C423" s="648" t="s">
        <v>1142</v>
      </c>
      <c r="D423" s="662">
        <v>6</v>
      </c>
      <c r="E423" s="662"/>
      <c r="F423" s="639" t="str">
        <f t="shared" si="4"/>
        <v/>
      </c>
    </row>
    <row r="424" spans="1:6">
      <c r="A424" s="635"/>
      <c r="B424" s="671" t="s">
        <v>1163</v>
      </c>
      <c r="C424" s="648" t="s">
        <v>1142</v>
      </c>
      <c r="D424" s="662">
        <v>3</v>
      </c>
      <c r="E424" s="662"/>
      <c r="F424" s="639" t="str">
        <f t="shared" si="4"/>
        <v/>
      </c>
    </row>
    <row r="425" spans="1:6">
      <c r="A425" s="646"/>
      <c r="B425" s="646"/>
      <c r="C425" s="646"/>
      <c r="D425" s="646"/>
      <c r="E425" s="646"/>
      <c r="F425" s="646"/>
    </row>
    <row r="426" spans="1:6" ht="156.75">
      <c r="A426" s="635" t="s">
        <v>1164</v>
      </c>
      <c r="B426" s="661" t="s">
        <v>1165</v>
      </c>
      <c r="C426" s="648" t="s">
        <v>1166</v>
      </c>
      <c r="D426" s="649">
        <v>80</v>
      </c>
      <c r="E426" s="649"/>
      <c r="F426" s="639" t="str">
        <f t="shared" si="4"/>
        <v/>
      </c>
    </row>
    <row r="427" spans="1:6">
      <c r="A427" s="646"/>
      <c r="B427" s="646"/>
      <c r="C427" s="646"/>
      <c r="D427" s="646"/>
      <c r="E427" s="646"/>
      <c r="F427" s="646"/>
    </row>
    <row r="428" spans="1:6" ht="171">
      <c r="A428" s="599" t="s">
        <v>1167</v>
      </c>
      <c r="B428" s="600" t="s">
        <v>1168</v>
      </c>
      <c r="C428" s="648"/>
      <c r="D428" s="649"/>
      <c r="E428" s="613"/>
      <c r="F428" s="645" t="str">
        <f>IF(E428="","",D428*E428)</f>
        <v/>
      </c>
    </row>
    <row r="429" spans="1:6">
      <c r="A429" s="599"/>
      <c r="B429" s="600" t="s">
        <v>1169</v>
      </c>
      <c r="C429" s="601" t="s">
        <v>1170</v>
      </c>
      <c r="D429" s="649">
        <v>100</v>
      </c>
      <c r="E429" s="613"/>
      <c r="F429" s="645" t="str">
        <f>IF(E429="","",D429*E429)</f>
        <v/>
      </c>
    </row>
    <row r="430" spans="1:6">
      <c r="A430" s="646"/>
      <c r="B430" s="646"/>
      <c r="C430" s="646"/>
      <c r="D430" s="646"/>
      <c r="E430" s="646"/>
      <c r="F430" s="646"/>
    </row>
    <row r="431" spans="1:6" ht="114">
      <c r="A431" s="635" t="s">
        <v>1171</v>
      </c>
      <c r="B431" s="661" t="s">
        <v>1172</v>
      </c>
      <c r="C431" s="663" t="s">
        <v>1142</v>
      </c>
      <c r="D431" s="662">
        <v>36</v>
      </c>
      <c r="E431" s="662"/>
      <c r="F431" s="645" t="str">
        <f>IF(E431="","",D431*E431)</f>
        <v/>
      </c>
    </row>
    <row r="432" spans="1:6">
      <c r="A432" s="635"/>
      <c r="B432" s="661"/>
      <c r="C432" s="663"/>
      <c r="D432" s="662"/>
      <c r="E432" s="662"/>
      <c r="F432" s="645"/>
    </row>
    <row r="433" spans="1:6" ht="99.75">
      <c r="A433" s="635" t="s">
        <v>1173</v>
      </c>
      <c r="B433" s="661" t="s">
        <v>1174</v>
      </c>
      <c r="C433" s="663" t="s">
        <v>1142</v>
      </c>
      <c r="D433" s="662">
        <v>5</v>
      </c>
      <c r="E433" s="662"/>
      <c r="F433" s="645" t="str">
        <f>IF(E433="","",D433*E433)</f>
        <v/>
      </c>
    </row>
    <row r="434" spans="1:6">
      <c r="A434" s="635"/>
      <c r="B434" s="661"/>
      <c r="C434" s="663"/>
      <c r="D434" s="662"/>
      <c r="E434" s="662"/>
      <c r="F434" s="645"/>
    </row>
    <row r="435" spans="1:6" ht="114">
      <c r="A435" s="664" t="s">
        <v>1175</v>
      </c>
      <c r="B435" s="661" t="s">
        <v>1176</v>
      </c>
      <c r="C435" s="663" t="s">
        <v>1006</v>
      </c>
      <c r="D435" s="662">
        <v>1</v>
      </c>
      <c r="E435" s="662"/>
      <c r="F435" s="645" t="str">
        <f>IF(E435="","",D435*E435)</f>
        <v/>
      </c>
    </row>
    <row r="436" spans="1:6">
      <c r="A436" s="664"/>
      <c r="B436" s="661"/>
      <c r="C436" s="663"/>
      <c r="D436" s="662"/>
      <c r="E436" s="662"/>
      <c r="F436" s="645"/>
    </row>
    <row r="437" spans="1:6" ht="99.75">
      <c r="A437" s="635" t="s">
        <v>1177</v>
      </c>
      <c r="B437" s="600" t="s">
        <v>1178</v>
      </c>
      <c r="C437" s="648" t="s">
        <v>1006</v>
      </c>
      <c r="D437" s="649">
        <v>1</v>
      </c>
      <c r="E437" s="649"/>
      <c r="F437" s="603">
        <f>D437*E437</f>
        <v>0</v>
      </c>
    </row>
    <row r="438" spans="1:6">
      <c r="A438" s="635"/>
      <c r="B438" s="600"/>
      <c r="C438" s="648"/>
      <c r="D438" s="649"/>
      <c r="E438" s="672"/>
      <c r="F438" s="603"/>
    </row>
    <row r="439" spans="1:6" ht="42.75">
      <c r="A439" s="635" t="s">
        <v>1179</v>
      </c>
      <c r="B439" s="673" t="s">
        <v>1180</v>
      </c>
      <c r="C439" s="663" t="s">
        <v>1006</v>
      </c>
      <c r="D439" s="662">
        <v>1</v>
      </c>
      <c r="E439" s="674"/>
      <c r="F439" s="603">
        <f>D439*E439</f>
        <v>0</v>
      </c>
    </row>
    <row r="440" spans="1:6">
      <c r="A440" s="635"/>
      <c r="B440" s="673"/>
      <c r="C440" s="663"/>
      <c r="D440" s="662"/>
      <c r="E440" s="674"/>
      <c r="F440" s="603"/>
    </row>
    <row r="441" spans="1:6" ht="85.5">
      <c r="A441" s="635" t="s">
        <v>1181</v>
      </c>
      <c r="B441" s="661" t="s">
        <v>1182</v>
      </c>
      <c r="C441" s="663" t="s">
        <v>1006</v>
      </c>
      <c r="D441" s="662">
        <v>1</v>
      </c>
      <c r="E441" s="674"/>
      <c r="F441" s="645">
        <f>D441*E441</f>
        <v>0</v>
      </c>
    </row>
    <row r="442" spans="1:6">
      <c r="A442" s="635"/>
      <c r="B442" s="661"/>
      <c r="C442" s="663"/>
      <c r="D442" s="662"/>
      <c r="E442" s="674"/>
      <c r="F442" s="645"/>
    </row>
    <row r="443" spans="1:6" ht="71.25">
      <c r="A443" s="599" t="s">
        <v>1183</v>
      </c>
      <c r="B443" s="600" t="s">
        <v>1184</v>
      </c>
      <c r="C443" s="601" t="s">
        <v>1006</v>
      </c>
      <c r="D443" s="602">
        <v>1</v>
      </c>
      <c r="E443" s="602"/>
      <c r="F443" s="645" t="str">
        <f>IF(E443="","",D443*E443)</f>
        <v/>
      </c>
    </row>
    <row r="444" spans="1:6">
      <c r="A444" s="599"/>
      <c r="B444" s="600"/>
      <c r="C444" s="601"/>
      <c r="D444" s="602"/>
      <c r="E444" s="602"/>
      <c r="F444" s="645"/>
    </row>
    <row r="445" spans="1:6" ht="270.75">
      <c r="A445" s="599" t="s">
        <v>1185</v>
      </c>
      <c r="B445" s="600" t="s">
        <v>1186</v>
      </c>
      <c r="C445" s="601" t="s">
        <v>1006</v>
      </c>
      <c r="D445" s="602">
        <v>1</v>
      </c>
      <c r="E445" s="602"/>
      <c r="F445" s="645" t="str">
        <f>IF(E445="","",D445*E445)</f>
        <v/>
      </c>
    </row>
    <row r="446" spans="1:6">
      <c r="A446" s="675"/>
      <c r="B446" s="676"/>
      <c r="C446" s="677"/>
      <c r="D446" s="678"/>
      <c r="E446" s="678"/>
      <c r="F446" s="679"/>
    </row>
    <row r="447" spans="1:6">
      <c r="A447" s="675"/>
      <c r="B447" s="676"/>
      <c r="C447" s="677"/>
      <c r="D447" s="678"/>
      <c r="E447" s="678"/>
      <c r="F447" s="679"/>
    </row>
    <row r="448" spans="1:6" ht="15.75" thickBot="1">
      <c r="A448" s="584"/>
      <c r="B448" s="584"/>
      <c r="C448" s="574"/>
      <c r="D448" s="574"/>
      <c r="E448" s="573" t="s">
        <v>15</v>
      </c>
      <c r="F448" s="586">
        <f>SUM(F349:F446)</f>
        <v>0</v>
      </c>
    </row>
    <row r="449" spans="1:6" ht="30.75" thickBot="1">
      <c r="A449" s="680" t="s">
        <v>265</v>
      </c>
      <c r="B449" s="622" t="s">
        <v>1187</v>
      </c>
      <c r="C449" s="623"/>
      <c r="D449" s="624"/>
      <c r="E449" s="624"/>
      <c r="F449" s="625"/>
    </row>
    <row r="450" spans="1:6" ht="15.75">
      <c r="A450" s="681"/>
      <c r="B450" s="627"/>
      <c r="C450" s="627"/>
      <c r="D450" s="628"/>
      <c r="E450" s="628"/>
      <c r="F450" s="629"/>
    </row>
    <row r="451" spans="1:6" ht="185.25">
      <c r="A451" s="635" t="s">
        <v>244</v>
      </c>
      <c r="B451" s="600" t="s">
        <v>1188</v>
      </c>
      <c r="C451" s="601" t="s">
        <v>1142</v>
      </c>
      <c r="D451" s="602">
        <v>13</v>
      </c>
      <c r="E451" s="602"/>
      <c r="F451" s="639" t="str">
        <f>IF(E451="","",D451*E451)</f>
        <v/>
      </c>
    </row>
    <row r="452" spans="1:6" ht="28.5">
      <c r="A452" s="635"/>
      <c r="B452" s="600" t="s">
        <v>1189</v>
      </c>
      <c r="C452" s="601"/>
      <c r="D452" s="602"/>
      <c r="E452" s="602"/>
      <c r="F452" s="639"/>
    </row>
    <row r="453" spans="1:6" ht="28.5">
      <c r="A453" s="635"/>
      <c r="B453" s="600" t="s">
        <v>1190</v>
      </c>
      <c r="C453" s="601"/>
      <c r="D453" s="602"/>
      <c r="E453" s="602"/>
      <c r="F453" s="639"/>
    </row>
    <row r="454" spans="1:6" ht="28.5">
      <c r="A454" s="635"/>
      <c r="B454" s="600" t="s">
        <v>1191</v>
      </c>
      <c r="C454" s="601"/>
      <c r="D454" s="602"/>
      <c r="E454" s="602"/>
      <c r="F454" s="639"/>
    </row>
    <row r="455" spans="1:6" ht="28.5">
      <c r="A455" s="635"/>
      <c r="B455" s="600" t="s">
        <v>1192</v>
      </c>
      <c r="C455" s="601"/>
      <c r="D455" s="602"/>
      <c r="E455" s="602"/>
      <c r="F455" s="639"/>
    </row>
    <row r="456" spans="1:6">
      <c r="A456" s="682"/>
      <c r="B456" s="683"/>
      <c r="C456" s="684"/>
      <c r="D456" s="685"/>
      <c r="E456" s="685"/>
      <c r="F456" s="686"/>
    </row>
    <row r="457" spans="1:6" ht="114">
      <c r="A457" s="635" t="s">
        <v>508</v>
      </c>
      <c r="B457" s="600" t="s">
        <v>1193</v>
      </c>
      <c r="C457" s="663"/>
      <c r="D457" s="662"/>
      <c r="E457" s="662"/>
      <c r="F457" s="645" t="str">
        <f t="shared" ref="F457:F461" si="5">IF(E457="","",D457*E457)</f>
        <v/>
      </c>
    </row>
    <row r="458" spans="1:6">
      <c r="A458" s="635"/>
      <c r="B458" s="600" t="s">
        <v>1194</v>
      </c>
      <c r="C458" s="663" t="s">
        <v>1166</v>
      </c>
      <c r="D458" s="662">
        <v>14</v>
      </c>
      <c r="E458" s="662"/>
      <c r="F458" s="645" t="str">
        <f t="shared" si="5"/>
        <v/>
      </c>
    </row>
    <row r="459" spans="1:6">
      <c r="A459" s="682"/>
      <c r="B459" s="683"/>
      <c r="C459" s="687"/>
      <c r="D459" s="688"/>
      <c r="E459" s="688"/>
      <c r="F459" s="689"/>
    </row>
    <row r="460" spans="1:6" ht="85.5">
      <c r="A460" s="635" t="s">
        <v>245</v>
      </c>
      <c r="B460" s="661" t="s">
        <v>1155</v>
      </c>
      <c r="C460" s="666"/>
      <c r="D460" s="667"/>
      <c r="E460" s="667"/>
      <c r="F460" s="639" t="str">
        <f t="shared" si="5"/>
        <v/>
      </c>
    </row>
    <row r="461" spans="1:6">
      <c r="A461" s="635"/>
      <c r="B461" s="661" t="s">
        <v>1195</v>
      </c>
      <c r="C461" s="666" t="s">
        <v>991</v>
      </c>
      <c r="D461" s="662">
        <v>30</v>
      </c>
      <c r="E461" s="662"/>
      <c r="F461" s="639" t="str">
        <f t="shared" si="5"/>
        <v/>
      </c>
    </row>
    <row r="462" spans="1:6">
      <c r="A462" s="682"/>
      <c r="B462" s="690"/>
      <c r="C462" s="691"/>
      <c r="D462" s="688"/>
      <c r="E462" s="688"/>
      <c r="F462" s="686"/>
    </row>
    <row r="463" spans="1:6" ht="114">
      <c r="A463" s="664" t="s">
        <v>246</v>
      </c>
      <c r="B463" s="661" t="s">
        <v>1176</v>
      </c>
      <c r="C463" s="663" t="s">
        <v>1006</v>
      </c>
      <c r="D463" s="662">
        <v>1</v>
      </c>
      <c r="E463" s="662"/>
      <c r="F463" s="645" t="str">
        <f>IF(E463="","",D463*E463)</f>
        <v/>
      </c>
    </row>
    <row r="464" spans="1:6">
      <c r="A464" s="692"/>
      <c r="B464" s="690"/>
      <c r="C464" s="687"/>
      <c r="D464" s="688"/>
      <c r="E464" s="688"/>
      <c r="F464" s="689"/>
    </row>
    <row r="465" spans="1:6" ht="99.75">
      <c r="A465" s="635" t="s">
        <v>1196</v>
      </c>
      <c r="B465" s="600" t="s">
        <v>1178</v>
      </c>
      <c r="C465" s="648" t="s">
        <v>1006</v>
      </c>
      <c r="D465" s="649">
        <v>1</v>
      </c>
      <c r="E465" s="649"/>
      <c r="F465" s="603">
        <f>D465*E465</f>
        <v>0</v>
      </c>
    </row>
    <row r="466" spans="1:6">
      <c r="A466" s="682"/>
      <c r="B466" s="683"/>
      <c r="C466" s="693"/>
      <c r="D466" s="694"/>
      <c r="E466" s="694"/>
      <c r="F466" s="695"/>
    </row>
    <row r="467" spans="1:6" ht="42.75">
      <c r="A467" s="635" t="s">
        <v>1197</v>
      </c>
      <c r="B467" s="661" t="s">
        <v>1180</v>
      </c>
      <c r="C467" s="663" t="s">
        <v>1006</v>
      </c>
      <c r="D467" s="662">
        <v>1</v>
      </c>
      <c r="E467" s="662"/>
      <c r="F467" s="603">
        <f>D467*E467</f>
        <v>0</v>
      </c>
    </row>
    <row r="468" spans="1:6">
      <c r="A468" s="682"/>
      <c r="B468" s="690"/>
      <c r="C468" s="687"/>
      <c r="D468" s="688"/>
      <c r="E468" s="688"/>
      <c r="F468" s="695"/>
    </row>
    <row r="469" spans="1:6" ht="85.5">
      <c r="A469" s="635" t="s">
        <v>1198</v>
      </c>
      <c r="B469" s="661" t="s">
        <v>1182</v>
      </c>
      <c r="C469" s="663" t="s">
        <v>1006</v>
      </c>
      <c r="D469" s="662">
        <v>1</v>
      </c>
      <c r="E469" s="662"/>
      <c r="F469" s="645">
        <f>D469*E469</f>
        <v>0</v>
      </c>
    </row>
    <row r="470" spans="1:6">
      <c r="A470" s="682"/>
      <c r="B470" s="690"/>
      <c r="C470" s="687"/>
      <c r="D470" s="688"/>
      <c r="E470" s="688"/>
      <c r="F470" s="689"/>
    </row>
    <row r="471" spans="1:6" ht="57">
      <c r="A471" s="599" t="s">
        <v>1199</v>
      </c>
      <c r="B471" s="600" t="s">
        <v>1200</v>
      </c>
      <c r="C471" s="601" t="s">
        <v>1006</v>
      </c>
      <c r="D471" s="602">
        <v>1</v>
      </c>
      <c r="E471" s="602"/>
      <c r="F471" s="645" t="str">
        <f>IF(E471="","",D471*E471)</f>
        <v/>
      </c>
    </row>
    <row r="472" spans="1:6">
      <c r="A472" s="696"/>
      <c r="B472" s="683"/>
      <c r="C472" s="684"/>
      <c r="D472" s="685"/>
      <c r="E472" s="685"/>
      <c r="F472" s="689"/>
    </row>
    <row r="473" spans="1:6" ht="270.75">
      <c r="A473" s="599" t="s">
        <v>1201</v>
      </c>
      <c r="B473" s="600" t="s">
        <v>1186</v>
      </c>
      <c r="C473" s="601" t="s">
        <v>1006</v>
      </c>
      <c r="D473" s="602">
        <v>1</v>
      </c>
      <c r="E473" s="602"/>
      <c r="F473" s="645" t="str">
        <f>IF(E473="","",D473*E473)</f>
        <v/>
      </c>
    </row>
    <row r="474" spans="1:6">
      <c r="A474" s="697"/>
      <c r="B474" s="676"/>
      <c r="C474" s="677"/>
      <c r="D474" s="678"/>
      <c r="E474" s="678"/>
      <c r="F474" s="679"/>
    </row>
    <row r="475" spans="1:6">
      <c r="A475" s="697"/>
      <c r="B475" s="676"/>
      <c r="C475" s="677"/>
      <c r="D475" s="678"/>
      <c r="E475" s="678"/>
      <c r="F475" s="679"/>
    </row>
    <row r="476" spans="1:6" ht="15.75" thickBot="1">
      <c r="A476" s="584"/>
      <c r="B476" s="584"/>
      <c r="C476" s="574"/>
      <c r="D476" s="574"/>
      <c r="E476" s="573" t="s">
        <v>15</v>
      </c>
      <c r="F476" s="586">
        <f>SUM(F451:F473)</f>
        <v>0</v>
      </c>
    </row>
    <row r="477" spans="1:6" ht="45.75" thickBot="1">
      <c r="A477" s="698" t="s">
        <v>266</v>
      </c>
      <c r="B477" s="699" t="s">
        <v>1202</v>
      </c>
      <c r="C477" s="700"/>
      <c r="D477" s="701"/>
      <c r="E477" s="701"/>
      <c r="F477" s="702"/>
    </row>
    <row r="478" spans="1:6" ht="15.75">
      <c r="A478" s="681"/>
      <c r="B478" s="627"/>
      <c r="C478" s="627"/>
      <c r="D478" s="628"/>
      <c r="E478" s="628"/>
      <c r="F478" s="629"/>
    </row>
    <row r="479" spans="1:6" ht="128.25">
      <c r="A479" s="635">
        <f>I479</f>
        <v>0</v>
      </c>
      <c r="B479" s="661" t="s">
        <v>1203</v>
      </c>
      <c r="C479" s="663" t="s">
        <v>1166</v>
      </c>
      <c r="D479" s="662">
        <v>3</v>
      </c>
      <c r="E479" s="662"/>
      <c r="F479" s="639" t="str">
        <f>IF(E479="","",D479*E479)</f>
        <v/>
      </c>
    </row>
    <row r="480" spans="1:6" ht="28.5">
      <c r="A480" s="635"/>
      <c r="B480" s="661" t="s">
        <v>1204</v>
      </c>
      <c r="C480" s="663"/>
      <c r="D480" s="662"/>
      <c r="E480" s="662"/>
      <c r="F480" s="639"/>
    </row>
    <row r="481" spans="1:6" ht="28.5">
      <c r="A481" s="635"/>
      <c r="B481" s="661" t="s">
        <v>1205</v>
      </c>
      <c r="C481" s="663"/>
      <c r="D481" s="662"/>
      <c r="E481" s="662"/>
      <c r="F481" s="639"/>
    </row>
    <row r="482" spans="1:6" ht="28.5">
      <c r="A482" s="635"/>
      <c r="B482" s="661" t="s">
        <v>1206</v>
      </c>
      <c r="C482" s="663"/>
      <c r="D482" s="662"/>
      <c r="E482" s="662"/>
      <c r="F482" s="639"/>
    </row>
    <row r="483" spans="1:6" ht="28.5">
      <c r="A483" s="635"/>
      <c r="B483" s="661" t="s">
        <v>1207</v>
      </c>
      <c r="C483" s="663"/>
      <c r="D483" s="662"/>
      <c r="E483" s="662"/>
      <c r="F483" s="639"/>
    </row>
    <row r="484" spans="1:6" ht="28.5">
      <c r="A484" s="635"/>
      <c r="B484" s="661" t="s">
        <v>1208</v>
      </c>
      <c r="C484" s="663"/>
      <c r="D484" s="662"/>
      <c r="E484" s="662"/>
      <c r="F484" s="639" t="str">
        <f>IF(E484="","",D484*E484)</f>
        <v/>
      </c>
    </row>
    <row r="485" spans="1:6">
      <c r="A485" s="635"/>
      <c r="B485" s="661" t="s">
        <v>1209</v>
      </c>
      <c r="C485" s="663"/>
      <c r="D485" s="662"/>
      <c r="E485" s="662"/>
      <c r="F485" s="639"/>
    </row>
    <row r="486" spans="1:6" ht="28.5">
      <c r="A486" s="635"/>
      <c r="B486" s="644" t="s">
        <v>1210</v>
      </c>
      <c r="C486" s="663"/>
      <c r="D486" s="662"/>
      <c r="E486" s="662"/>
      <c r="F486" s="639"/>
    </row>
    <row r="487" spans="1:6" ht="28.5">
      <c r="A487" s="635"/>
      <c r="B487" s="644" t="s">
        <v>1211</v>
      </c>
      <c r="C487" s="663"/>
      <c r="D487" s="662"/>
      <c r="E487" s="662"/>
      <c r="F487" s="639"/>
    </row>
    <row r="488" spans="1:6" ht="42.75">
      <c r="A488" s="635"/>
      <c r="B488" s="644" t="s">
        <v>1212</v>
      </c>
      <c r="C488" s="663"/>
      <c r="D488" s="662"/>
      <c r="E488" s="662"/>
      <c r="F488" s="639"/>
    </row>
    <row r="489" spans="1:6">
      <c r="A489" s="682"/>
      <c r="B489" s="703"/>
      <c r="C489" s="687"/>
      <c r="D489" s="688"/>
      <c r="E489" s="688"/>
      <c r="F489" s="686"/>
    </row>
    <row r="490" spans="1:6" ht="128.25">
      <c r="A490" s="599" t="s">
        <v>45</v>
      </c>
      <c r="B490" s="614" t="s">
        <v>1213</v>
      </c>
      <c r="C490" s="601" t="s">
        <v>1166</v>
      </c>
      <c r="D490" s="602">
        <v>3</v>
      </c>
      <c r="E490" s="602"/>
      <c r="F490" s="639" t="str">
        <f t="shared" ref="F490:F498" si="6">IF(E490="","",D490*E490)</f>
        <v/>
      </c>
    </row>
    <row r="491" spans="1:6" ht="28.5">
      <c r="A491" s="599"/>
      <c r="B491" s="644" t="s">
        <v>1214</v>
      </c>
      <c r="C491" s="601"/>
      <c r="D491" s="602"/>
      <c r="E491" s="602"/>
      <c r="F491" s="639" t="str">
        <f t="shared" si="6"/>
        <v/>
      </c>
    </row>
    <row r="492" spans="1:6" ht="28.5">
      <c r="A492" s="599"/>
      <c r="B492" s="644" t="s">
        <v>1215</v>
      </c>
      <c r="C492" s="601"/>
      <c r="D492" s="602"/>
      <c r="E492" s="602"/>
      <c r="F492" s="639" t="str">
        <f t="shared" si="6"/>
        <v/>
      </c>
    </row>
    <row r="493" spans="1:6" ht="28.5">
      <c r="A493" s="599"/>
      <c r="B493" s="644" t="s">
        <v>1216</v>
      </c>
      <c r="C493" s="601"/>
      <c r="D493" s="602"/>
      <c r="E493" s="602"/>
      <c r="F493" s="639" t="str">
        <f t="shared" si="6"/>
        <v/>
      </c>
    </row>
    <row r="494" spans="1:6" ht="28.5">
      <c r="A494" s="599"/>
      <c r="B494" s="644" t="s">
        <v>1217</v>
      </c>
      <c r="C494" s="601"/>
      <c r="D494" s="602"/>
      <c r="E494" s="602"/>
      <c r="F494" s="639" t="str">
        <f t="shared" si="6"/>
        <v/>
      </c>
    </row>
    <row r="495" spans="1:6" ht="28.5">
      <c r="A495" s="599"/>
      <c r="B495" s="644" t="s">
        <v>1218</v>
      </c>
      <c r="C495" s="601"/>
      <c r="D495" s="602"/>
      <c r="E495" s="602"/>
      <c r="F495" s="639" t="str">
        <f t="shared" si="6"/>
        <v/>
      </c>
    </row>
    <row r="496" spans="1:6" ht="28.5">
      <c r="A496" s="599"/>
      <c r="B496" s="614" t="s">
        <v>1219</v>
      </c>
      <c r="C496" s="601"/>
      <c r="D496" s="602"/>
      <c r="E496" s="602"/>
      <c r="F496" s="639" t="str">
        <f t="shared" si="6"/>
        <v/>
      </c>
    </row>
    <row r="497" spans="1:6">
      <c r="A497" s="599"/>
      <c r="B497" s="614" t="s">
        <v>1209</v>
      </c>
      <c r="C497" s="601"/>
      <c r="D497" s="602"/>
      <c r="E497" s="602"/>
      <c r="F497" s="639" t="str">
        <f t="shared" si="6"/>
        <v/>
      </c>
    </row>
    <row r="498" spans="1:6">
      <c r="A498" s="599"/>
      <c r="B498" s="704" t="s">
        <v>1220</v>
      </c>
      <c r="C498" s="601"/>
      <c r="D498" s="602"/>
      <c r="E498" s="602"/>
      <c r="F498" s="639" t="str">
        <f t="shared" si="6"/>
        <v/>
      </c>
    </row>
    <row r="499" spans="1:6">
      <c r="A499" s="696"/>
      <c r="B499" s="703"/>
      <c r="C499" s="684"/>
      <c r="D499" s="685"/>
      <c r="E499" s="685"/>
      <c r="F499" s="686"/>
    </row>
    <row r="500" spans="1:6" ht="114">
      <c r="A500" s="635" t="s">
        <v>57</v>
      </c>
      <c r="B500" s="661" t="s">
        <v>1221</v>
      </c>
      <c r="C500" s="663" t="s">
        <v>1166</v>
      </c>
      <c r="D500" s="662">
        <v>1</v>
      </c>
      <c r="E500" s="662"/>
      <c r="F500" s="645" t="str">
        <f t="shared" ref="F500:F513" si="7">IF(E500="","",D500*E500)</f>
        <v/>
      </c>
    </row>
    <row r="501" spans="1:6" ht="28.5">
      <c r="A501" s="635"/>
      <c r="B501" s="661" t="s">
        <v>1222</v>
      </c>
      <c r="C501" s="663"/>
      <c r="D501" s="662"/>
      <c r="E501" s="662"/>
      <c r="F501" s="645" t="str">
        <f t="shared" si="7"/>
        <v/>
      </c>
    </row>
    <row r="502" spans="1:6" ht="28.5">
      <c r="A502" s="635"/>
      <c r="B502" s="661" t="s">
        <v>1223</v>
      </c>
      <c r="C502" s="663"/>
      <c r="D502" s="662"/>
      <c r="E502" s="662"/>
      <c r="F502" s="645" t="str">
        <f t="shared" si="7"/>
        <v/>
      </c>
    </row>
    <row r="503" spans="1:6" ht="28.5">
      <c r="A503" s="635"/>
      <c r="B503" s="661" t="s">
        <v>1224</v>
      </c>
      <c r="C503" s="663"/>
      <c r="D503" s="662"/>
      <c r="E503" s="662"/>
      <c r="F503" s="645" t="str">
        <f t="shared" si="7"/>
        <v/>
      </c>
    </row>
    <row r="504" spans="1:6" ht="28.5">
      <c r="A504" s="635"/>
      <c r="B504" s="661" t="s">
        <v>1225</v>
      </c>
      <c r="C504" s="663"/>
      <c r="D504" s="662"/>
      <c r="E504" s="662"/>
      <c r="F504" s="645" t="str">
        <f t="shared" si="7"/>
        <v/>
      </c>
    </row>
    <row r="505" spans="1:6" ht="28.5">
      <c r="A505" s="635"/>
      <c r="B505" s="661" t="s">
        <v>1226</v>
      </c>
      <c r="C505" s="663"/>
      <c r="D505" s="662"/>
      <c r="E505" s="662"/>
      <c r="F505" s="645" t="str">
        <f t="shared" si="7"/>
        <v/>
      </c>
    </row>
    <row r="506" spans="1:6">
      <c r="A506" s="635"/>
      <c r="B506" s="661" t="s">
        <v>1209</v>
      </c>
      <c r="C506" s="663"/>
      <c r="D506" s="662"/>
      <c r="E506" s="662"/>
      <c r="F506" s="645" t="str">
        <f t="shared" si="7"/>
        <v/>
      </c>
    </row>
    <row r="507" spans="1:6" ht="28.5">
      <c r="A507" s="635"/>
      <c r="B507" s="644" t="s">
        <v>1227</v>
      </c>
      <c r="C507" s="663"/>
      <c r="D507" s="662"/>
      <c r="E507" s="662"/>
      <c r="F507" s="645" t="str">
        <f t="shared" si="7"/>
        <v/>
      </c>
    </row>
    <row r="508" spans="1:6" ht="42.75">
      <c r="A508" s="635"/>
      <c r="B508" s="644" t="s">
        <v>1212</v>
      </c>
      <c r="C508" s="663"/>
      <c r="D508" s="662"/>
      <c r="E508" s="662"/>
      <c r="F508" s="645" t="str">
        <f t="shared" si="7"/>
        <v/>
      </c>
    </row>
    <row r="509" spans="1:6">
      <c r="A509" s="682"/>
      <c r="B509" s="703"/>
      <c r="C509" s="687"/>
      <c r="D509" s="688"/>
      <c r="E509" s="688"/>
      <c r="F509" s="689"/>
    </row>
    <row r="510" spans="1:6" ht="156.75">
      <c r="A510" s="635" t="s">
        <v>58</v>
      </c>
      <c r="B510" s="644" t="s">
        <v>1149</v>
      </c>
      <c r="C510" s="663"/>
      <c r="D510" s="662"/>
      <c r="E510" s="662"/>
      <c r="F510" s="645" t="str">
        <f t="shared" si="7"/>
        <v/>
      </c>
    </row>
    <row r="511" spans="1:6">
      <c r="A511" s="635"/>
      <c r="B511" s="647" t="s">
        <v>1228</v>
      </c>
      <c r="C511" s="663" t="s">
        <v>1142</v>
      </c>
      <c r="D511" s="662">
        <v>3</v>
      </c>
      <c r="E511" s="662"/>
      <c r="F511" s="645" t="str">
        <f t="shared" si="7"/>
        <v/>
      </c>
    </row>
    <row r="512" spans="1:6">
      <c r="A512" s="682"/>
      <c r="B512" s="705"/>
      <c r="C512" s="687"/>
      <c r="D512" s="688"/>
      <c r="E512" s="688"/>
      <c r="F512" s="689"/>
    </row>
    <row r="513" spans="1:6" ht="156.75">
      <c r="A513" s="635" t="s">
        <v>1229</v>
      </c>
      <c r="B513" s="661" t="s">
        <v>1165</v>
      </c>
      <c r="C513" s="648" t="s">
        <v>1166</v>
      </c>
      <c r="D513" s="649">
        <v>30</v>
      </c>
      <c r="E513" s="649"/>
      <c r="F513" s="639" t="str">
        <f t="shared" si="7"/>
        <v/>
      </c>
    </row>
    <row r="514" spans="1:6">
      <c r="A514" s="635"/>
      <c r="B514" s="661"/>
      <c r="C514" s="648"/>
      <c r="D514" s="649"/>
      <c r="E514" s="649"/>
      <c r="F514" s="639"/>
    </row>
    <row r="515" spans="1:6" ht="171">
      <c r="A515" s="599" t="s">
        <v>1230</v>
      </c>
      <c r="B515" s="600" t="s">
        <v>1168</v>
      </c>
      <c r="C515" s="648"/>
      <c r="D515" s="649"/>
      <c r="E515" s="613"/>
      <c r="F515" s="645" t="str">
        <f>IF(E515="","",D515*E515)</f>
        <v/>
      </c>
    </row>
    <row r="516" spans="1:6">
      <c r="A516" s="599"/>
      <c r="B516" s="600" t="s">
        <v>1169</v>
      </c>
      <c r="C516" s="601" t="s">
        <v>1170</v>
      </c>
      <c r="D516" s="649">
        <v>20</v>
      </c>
      <c r="E516" s="613"/>
      <c r="F516" s="645" t="str">
        <f>IF(E516="","",D516*E516)</f>
        <v/>
      </c>
    </row>
    <row r="517" spans="1:6">
      <c r="A517" s="599"/>
      <c r="B517" s="600"/>
      <c r="C517" s="601"/>
      <c r="D517" s="649"/>
      <c r="E517" s="613"/>
      <c r="F517" s="645"/>
    </row>
    <row r="518" spans="1:6" ht="114">
      <c r="A518" s="664" t="s">
        <v>1231</v>
      </c>
      <c r="B518" s="661" t="s">
        <v>1176</v>
      </c>
      <c r="C518" s="663" t="s">
        <v>1006</v>
      </c>
      <c r="D518" s="662">
        <v>1</v>
      </c>
      <c r="E518" s="662"/>
      <c r="F518" s="645" t="str">
        <f>IF(E518="","",D518*E518)</f>
        <v/>
      </c>
    </row>
    <row r="519" spans="1:6">
      <c r="A519" s="664"/>
      <c r="B519" s="661"/>
      <c r="C519" s="663"/>
      <c r="D519" s="662"/>
      <c r="E519" s="662"/>
      <c r="F519" s="645"/>
    </row>
    <row r="520" spans="1:6" ht="99.75">
      <c r="A520" s="635" t="s">
        <v>1232</v>
      </c>
      <c r="B520" s="600" t="s">
        <v>1178</v>
      </c>
      <c r="C520" s="648" t="s">
        <v>1006</v>
      </c>
      <c r="D520" s="649">
        <v>1</v>
      </c>
      <c r="E520" s="649"/>
      <c r="F520" s="603">
        <f>D520*E520</f>
        <v>0</v>
      </c>
    </row>
    <row r="521" spans="1:6">
      <c r="A521" s="635"/>
      <c r="B521" s="600"/>
      <c r="C521" s="648"/>
      <c r="D521" s="649"/>
      <c r="E521" s="672"/>
      <c r="F521" s="603"/>
    </row>
    <row r="522" spans="1:6" ht="42.75">
      <c r="A522" s="635" t="s">
        <v>1233</v>
      </c>
      <c r="B522" s="661" t="s">
        <v>1180</v>
      </c>
      <c r="C522" s="663" t="s">
        <v>1006</v>
      </c>
      <c r="D522" s="662">
        <v>1</v>
      </c>
      <c r="E522" s="674"/>
      <c r="F522" s="603">
        <f>D522*E522</f>
        <v>0</v>
      </c>
    </row>
    <row r="523" spans="1:6">
      <c r="A523" s="635"/>
      <c r="B523" s="661"/>
      <c r="C523" s="663"/>
      <c r="D523" s="662"/>
      <c r="E523" s="674"/>
      <c r="F523" s="603"/>
    </row>
    <row r="524" spans="1:6" ht="85.5">
      <c r="A524" s="635" t="s">
        <v>1234</v>
      </c>
      <c r="B524" s="661" t="s">
        <v>1182</v>
      </c>
      <c r="C524" s="663" t="s">
        <v>1006</v>
      </c>
      <c r="D524" s="662">
        <v>1</v>
      </c>
      <c r="E524" s="674"/>
      <c r="F524" s="645">
        <f>D524*E524</f>
        <v>0</v>
      </c>
    </row>
    <row r="525" spans="1:6">
      <c r="A525" s="635"/>
      <c r="B525" s="661"/>
      <c r="C525" s="663"/>
      <c r="D525" s="662"/>
      <c r="E525" s="674"/>
      <c r="F525" s="645"/>
    </row>
    <row r="526" spans="1:6" ht="57">
      <c r="A526" s="599" t="s">
        <v>1235</v>
      </c>
      <c r="B526" s="600" t="s">
        <v>1236</v>
      </c>
      <c r="C526" s="601" t="s">
        <v>1006</v>
      </c>
      <c r="D526" s="602">
        <v>1</v>
      </c>
      <c r="E526" s="602"/>
      <c r="F526" s="645" t="str">
        <f>IF(E526="","",D526*E526)</f>
        <v/>
      </c>
    </row>
    <row r="527" spans="1:6">
      <c r="A527" s="599"/>
      <c r="B527" s="600"/>
      <c r="C527" s="601"/>
      <c r="D527" s="602"/>
      <c r="E527" s="602"/>
      <c r="F527" s="645"/>
    </row>
    <row r="528" spans="1:6" ht="270.75">
      <c r="A528" s="599" t="s">
        <v>1237</v>
      </c>
      <c r="B528" s="600" t="s">
        <v>1186</v>
      </c>
      <c r="C528" s="601" t="s">
        <v>1006</v>
      </c>
      <c r="D528" s="602">
        <v>1</v>
      </c>
      <c r="E528" s="602"/>
      <c r="F528" s="645" t="str">
        <f>IF(E528="","",D528*E528)</f>
        <v/>
      </c>
    </row>
    <row r="529" spans="1:6">
      <c r="A529" s="697"/>
      <c r="B529" s="676"/>
      <c r="C529" s="677"/>
      <c r="D529" s="678"/>
      <c r="E529" s="678"/>
      <c r="F529" s="679"/>
    </row>
    <row r="530" spans="1:6">
      <c r="A530" s="584"/>
      <c r="B530" s="584"/>
      <c r="C530" s="574"/>
      <c r="D530" s="574"/>
      <c r="E530" s="573" t="s">
        <v>15</v>
      </c>
      <c r="F530" s="586">
        <f>SUM(F479:F528)</f>
        <v>0</v>
      </c>
    </row>
    <row r="531" spans="1:6" ht="45">
      <c r="A531" s="572" t="s">
        <v>267</v>
      </c>
      <c r="B531" s="577" t="s">
        <v>1238</v>
      </c>
      <c r="C531" s="574"/>
      <c r="D531" s="574"/>
      <c r="E531" s="706"/>
      <c r="F531" s="706"/>
    </row>
    <row r="532" spans="1:6" ht="409.5">
      <c r="A532" s="572"/>
      <c r="B532" s="614" t="s">
        <v>1239</v>
      </c>
      <c r="C532" s="574"/>
      <c r="D532" s="574"/>
      <c r="E532" s="706"/>
      <c r="F532" s="706"/>
    </row>
    <row r="533" spans="1:6" ht="28.5">
      <c r="A533" s="572" t="s">
        <v>46</v>
      </c>
      <c r="B533" s="614" t="s">
        <v>1240</v>
      </c>
      <c r="C533" s="574" t="s">
        <v>42</v>
      </c>
      <c r="D533" s="574">
        <v>5</v>
      </c>
      <c r="E533" s="706"/>
      <c r="F533" s="706">
        <f>D533*E533</f>
        <v>0</v>
      </c>
    </row>
    <row r="534" spans="1:6">
      <c r="A534" s="575"/>
      <c r="B534" s="707"/>
      <c r="C534" s="576"/>
      <c r="D534" s="576"/>
      <c r="E534" s="708"/>
      <c r="F534" s="708"/>
    </row>
    <row r="535" spans="1:6">
      <c r="A535" s="572"/>
      <c r="B535" s="709" t="s">
        <v>1241</v>
      </c>
      <c r="C535" s="574"/>
      <c r="D535" s="574"/>
      <c r="E535" s="706"/>
      <c r="F535" s="706"/>
    </row>
    <row r="536" spans="1:6" ht="375">
      <c r="A536" s="572"/>
      <c r="B536" s="710" t="s">
        <v>1242</v>
      </c>
      <c r="C536" s="574"/>
      <c r="D536" s="574"/>
      <c r="E536" s="706"/>
      <c r="F536" s="706"/>
    </row>
    <row r="537" spans="1:6" ht="30">
      <c r="A537" s="572" t="s">
        <v>47</v>
      </c>
      <c r="B537" s="711" t="s">
        <v>1243</v>
      </c>
      <c r="C537" s="574" t="s">
        <v>1244</v>
      </c>
      <c r="D537" s="574">
        <v>42</v>
      </c>
      <c r="E537" s="706"/>
      <c r="F537" s="706">
        <f>D537*E537</f>
        <v>0</v>
      </c>
    </row>
    <row r="538" spans="1:6">
      <c r="A538" s="575"/>
      <c r="B538" s="707"/>
      <c r="C538" s="576"/>
      <c r="D538" s="576"/>
      <c r="E538" s="708"/>
      <c r="F538" s="708"/>
    </row>
    <row r="539" spans="1:6" ht="75">
      <c r="A539" s="572" t="s">
        <v>1245</v>
      </c>
      <c r="B539" s="711" t="s">
        <v>1246</v>
      </c>
      <c r="C539" s="574" t="s">
        <v>42</v>
      </c>
      <c r="D539" s="574">
        <v>6</v>
      </c>
      <c r="E539" s="706"/>
      <c r="F539" s="706">
        <f>D539*E539</f>
        <v>0</v>
      </c>
    </row>
    <row r="540" spans="1:6">
      <c r="A540" s="575"/>
      <c r="B540" s="707"/>
      <c r="C540" s="576"/>
      <c r="D540" s="576"/>
      <c r="E540" s="708"/>
      <c r="F540" s="708"/>
    </row>
    <row r="541" spans="1:6" ht="90">
      <c r="A541" s="572" t="s">
        <v>1247</v>
      </c>
      <c r="B541" s="711" t="s">
        <v>1248</v>
      </c>
      <c r="C541" s="574" t="s">
        <v>926</v>
      </c>
      <c r="D541" s="574">
        <v>6</v>
      </c>
      <c r="E541" s="706"/>
      <c r="F541" s="706">
        <f>D541*E541</f>
        <v>0</v>
      </c>
    </row>
    <row r="542" spans="1:6">
      <c r="A542" s="575"/>
      <c r="B542" s="205"/>
      <c r="C542" s="576"/>
      <c r="D542" s="576"/>
      <c r="E542" s="708"/>
      <c r="F542" s="708"/>
    </row>
    <row r="543" spans="1:6" ht="28.5">
      <c r="A543" s="572" t="s">
        <v>1249</v>
      </c>
      <c r="B543" s="600" t="s">
        <v>1250</v>
      </c>
      <c r="C543" s="574" t="s">
        <v>1006</v>
      </c>
      <c r="D543" s="574">
        <v>1</v>
      </c>
      <c r="E543" s="706"/>
      <c r="F543" s="706">
        <f>D543*E543</f>
        <v>0</v>
      </c>
    </row>
    <row r="544" spans="1:6">
      <c r="A544" s="575"/>
      <c r="B544" s="683"/>
      <c r="C544" s="576"/>
      <c r="D544" s="576"/>
      <c r="E544" s="708"/>
      <c r="F544" s="708"/>
    </row>
    <row r="545" spans="1:6" ht="42.75">
      <c r="A545" s="572" t="s">
        <v>1251</v>
      </c>
      <c r="B545" s="600" t="s">
        <v>1252</v>
      </c>
      <c r="C545" s="574" t="s">
        <v>1006</v>
      </c>
      <c r="D545" s="574">
        <v>1</v>
      </c>
      <c r="E545" s="706"/>
      <c r="F545" s="706">
        <f>D545*E545</f>
        <v>0</v>
      </c>
    </row>
    <row r="546" spans="1:6">
      <c r="A546" s="575"/>
      <c r="B546" s="683"/>
      <c r="C546" s="576"/>
      <c r="D546" s="576"/>
      <c r="E546" s="708"/>
      <c r="F546" s="708"/>
    </row>
    <row r="547" spans="1:6" ht="28.5">
      <c r="A547" s="572" t="s">
        <v>1253</v>
      </c>
      <c r="B547" s="600" t="s">
        <v>1254</v>
      </c>
      <c r="C547" s="574" t="s">
        <v>1006</v>
      </c>
      <c r="D547" s="574">
        <v>1</v>
      </c>
      <c r="E547" s="706"/>
      <c r="F547" s="706">
        <f>D547*E547</f>
        <v>0</v>
      </c>
    </row>
    <row r="548" spans="1:6">
      <c r="A548" s="575"/>
      <c r="B548" s="186"/>
      <c r="C548" s="576"/>
      <c r="D548" s="576"/>
      <c r="E548" s="708"/>
      <c r="F548" s="708"/>
    </row>
    <row r="549" spans="1:6">
      <c r="A549" s="572"/>
      <c r="B549" s="584"/>
      <c r="C549" s="574"/>
      <c r="D549" s="574"/>
      <c r="E549" s="712" t="s">
        <v>15</v>
      </c>
      <c r="F549" s="712">
        <f>SUM(F532:F547)</f>
        <v>0</v>
      </c>
    </row>
    <row r="550" spans="1:6" ht="15.75" thickBot="1"/>
    <row r="551" spans="1:6" ht="75.75" customHeight="1" thickBot="1">
      <c r="A551" s="988" t="s">
        <v>1255</v>
      </c>
      <c r="B551" s="989"/>
      <c r="C551" s="714" t="s">
        <v>1256</v>
      </c>
    </row>
    <row r="552" spans="1:6" ht="15.75" thickBot="1">
      <c r="A552" s="715"/>
      <c r="B552" s="715"/>
      <c r="C552" s="689"/>
      <c r="D552" s="715"/>
      <c r="E552" s="715"/>
      <c r="F552" s="689"/>
    </row>
    <row r="553" spans="1:6" ht="45.75" thickBot="1">
      <c r="A553" s="716" t="s">
        <v>261</v>
      </c>
      <c r="B553" s="717" t="str">
        <f>B4</f>
        <v>INSTALACIJA GRIJANJA I HLAĐENJA - VRV SUSTAV</v>
      </c>
      <c r="C553" s="718">
        <f>F165</f>
        <v>0</v>
      </c>
    </row>
    <row r="554" spans="1:6" ht="45.75" thickBot="1">
      <c r="A554" s="716" t="s">
        <v>262</v>
      </c>
      <c r="B554" s="717" t="str">
        <f>B169</f>
        <v>INSTALACIJA GRIJANJA I HLAĐENJA - SPLIT SUSTAV</v>
      </c>
      <c r="C554" s="718">
        <f>F244</f>
        <v>0</v>
      </c>
    </row>
    <row r="555" spans="1:6" ht="45.75" thickBot="1">
      <c r="A555" s="716" t="s">
        <v>263</v>
      </c>
      <c r="B555" s="717" t="str">
        <f>B245</f>
        <v>INSTALACIJA POTROŠNE TOPLE VODE</v>
      </c>
      <c r="C555" s="718">
        <f>F346</f>
        <v>0</v>
      </c>
    </row>
    <row r="556" spans="1:6" ht="30.75" thickBot="1">
      <c r="A556" s="716" t="s">
        <v>264</v>
      </c>
      <c r="B556" s="717" t="str">
        <f>B347</f>
        <v>VENTILACIJA VRTIČKIH GRUPA</v>
      </c>
      <c r="C556" s="718">
        <f>F448</f>
        <v>0</v>
      </c>
    </row>
    <row r="557" spans="1:6" ht="30.75" thickBot="1">
      <c r="A557" s="719" t="s">
        <v>265</v>
      </c>
      <c r="B557" s="720" t="str">
        <f>B449</f>
        <v>ODSISNA VENTILACIJA SANITARIJA</v>
      </c>
      <c r="C557" s="721">
        <f>F476</f>
        <v>0</v>
      </c>
    </row>
    <row r="558" spans="1:6" ht="45.75" thickBot="1">
      <c r="A558" s="716" t="s">
        <v>266</v>
      </c>
      <c r="B558" s="717" t="str">
        <f>B477</f>
        <v>VENTILACIJA SPREMIŠTA I SANITARIJA</v>
      </c>
      <c r="C558" s="718">
        <f>F530</f>
        <v>0</v>
      </c>
    </row>
    <row r="559" spans="1:6" ht="45.75" thickBot="1">
      <c r="A559" s="716" t="s">
        <v>267</v>
      </c>
      <c r="B559" s="717" t="str">
        <f>B531</f>
        <v>ELEKTRIČNI RADIJATORI I PODNO GRIJANJE</v>
      </c>
      <c r="C559" s="714">
        <f>F549</f>
        <v>0</v>
      </c>
    </row>
    <row r="560" spans="1:6" ht="15.75" thickBot="1">
      <c r="A560" s="722"/>
      <c r="B560" s="715"/>
      <c r="C560" s="723"/>
    </row>
    <row r="561" spans="1:6" ht="15.75" thickBot="1">
      <c r="A561" s="724"/>
      <c r="B561" s="713" t="s">
        <v>1257</v>
      </c>
      <c r="C561" s="714">
        <f>SUM(C553:C559)</f>
        <v>0</v>
      </c>
    </row>
    <row r="562" spans="1:6">
      <c r="A562" s="186"/>
      <c r="B562" s="186"/>
      <c r="C562" s="186"/>
      <c r="D562" s="186"/>
      <c r="E562" s="186"/>
      <c r="F562" s="186"/>
    </row>
  </sheetData>
  <mergeCells count="1">
    <mergeCell ref="A551:B551"/>
  </mergeCells>
  <pageMargins left="0.7" right="0.7" top="0.75" bottom="0.75" header="0.3" footer="0.3"/>
  <pageSetup paperSize="9" fitToHeight="0" orientation="portrait" r:id="rId1"/>
  <rowBreaks count="20" manualBreakCount="20">
    <brk id="49" max="16383" man="1"/>
    <brk id="115" max="16383" man="1"/>
    <brk id="126" max="5" man="1"/>
    <brk id="129" max="5" man="1"/>
    <brk id="148" max="5" man="1"/>
    <brk id="165" max="5" man="1"/>
    <brk id="190" max="5" man="1"/>
    <brk id="210" max="5" man="1"/>
    <brk id="230" max="5" man="1"/>
    <brk id="237" max="5" man="1"/>
    <brk id="244" max="5" man="1"/>
    <brk id="318" max="5" man="1"/>
    <brk id="346" max="5" man="1"/>
    <brk id="448" max="5" man="1"/>
    <brk id="476" max="5" man="1"/>
    <brk id="525" max="5" man="1"/>
    <brk id="530" max="5" man="1"/>
    <brk id="533" max="5" man="1"/>
    <brk id="538" max="5" man="1"/>
    <brk id="550" max="5"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G51"/>
  <sheetViews>
    <sheetView showZeros="0" view="pageBreakPreview" zoomScaleNormal="100" zoomScaleSheetLayoutView="100" workbookViewId="0">
      <selection activeCell="G50" sqref="G50"/>
    </sheetView>
  </sheetViews>
  <sheetFormatPr defaultRowHeight="15"/>
  <cols>
    <col min="1" max="1" width="5.7109375" style="59" customWidth="1"/>
    <col min="2" max="2" width="45.7109375" style="73" customWidth="1"/>
    <col min="3" max="3" width="6.7109375" style="74" customWidth="1"/>
    <col min="4" max="4" width="10.7109375" style="15" customWidth="1"/>
    <col min="5" max="5" width="2.7109375" style="11" customWidth="1"/>
    <col min="6" max="6" width="15.7109375" style="75" customWidth="1"/>
    <col min="7" max="7" width="15.7109375" style="15" customWidth="1"/>
    <col min="8" max="16384" width="9.140625" style="186"/>
  </cols>
  <sheetData>
    <row r="1" spans="1:7" s="12" customFormat="1" ht="60" customHeight="1">
      <c r="A1" s="222"/>
      <c r="B1" s="9" t="s">
        <v>260</v>
      </c>
      <c r="C1" s="10"/>
      <c r="D1" s="223"/>
      <c r="E1" s="11"/>
      <c r="F1" s="969" t="s">
        <v>367</v>
      </c>
      <c r="G1" s="970"/>
    </row>
    <row r="2" spans="1:7" ht="18">
      <c r="A2" s="5"/>
      <c r="B2" s="6" t="s">
        <v>0</v>
      </c>
      <c r="C2" s="6"/>
      <c r="D2" s="6"/>
      <c r="E2" s="6"/>
      <c r="F2" s="6"/>
      <c r="G2" s="7"/>
    </row>
    <row r="3" spans="1:7">
      <c r="A3" s="39" t="s">
        <v>261</v>
      </c>
      <c r="B3" s="40" t="s">
        <v>281</v>
      </c>
      <c r="C3" s="41"/>
      <c r="D3" s="42"/>
      <c r="F3" s="43"/>
      <c r="G3" s="260">
        <f>'1.Pripremni'!G29</f>
        <v>0</v>
      </c>
    </row>
    <row r="4" spans="1:7" ht="12" customHeight="1">
      <c r="A4" s="39"/>
      <c r="B4" s="40"/>
      <c r="C4" s="41"/>
      <c r="D4" s="42"/>
      <c r="F4" s="43"/>
      <c r="G4" s="42"/>
    </row>
    <row r="5" spans="1:7">
      <c r="A5" s="39" t="s">
        <v>262</v>
      </c>
      <c r="B5" s="40" t="s">
        <v>282</v>
      </c>
      <c r="C5" s="41"/>
      <c r="D5" s="42"/>
      <c r="F5" s="43"/>
      <c r="G5" s="260">
        <f>'2.Zemljani radovi'!G36</f>
        <v>0</v>
      </c>
    </row>
    <row r="6" spans="1:7" ht="12" customHeight="1">
      <c r="A6" s="39"/>
      <c r="B6" s="40"/>
      <c r="C6" s="41"/>
      <c r="D6" s="42"/>
      <c r="F6" s="43"/>
      <c r="G6" s="42"/>
    </row>
    <row r="7" spans="1:7">
      <c r="A7" s="39" t="s">
        <v>263</v>
      </c>
      <c r="B7" s="40" t="s">
        <v>283</v>
      </c>
      <c r="C7" s="41"/>
      <c r="D7" s="42"/>
      <c r="F7" s="43"/>
      <c r="G7" s="260">
        <f>'3.Betonski i AB radovi'!G89</f>
        <v>0</v>
      </c>
    </row>
    <row r="8" spans="1:7" ht="12" customHeight="1">
      <c r="A8" s="39"/>
      <c r="B8" s="40"/>
      <c r="C8" s="41"/>
      <c r="D8" s="42"/>
      <c r="F8" s="43"/>
      <c r="G8" s="42"/>
    </row>
    <row r="9" spans="1:7">
      <c r="A9" s="39" t="s">
        <v>264</v>
      </c>
      <c r="B9" s="40" t="s">
        <v>284</v>
      </c>
      <c r="C9" s="41"/>
      <c r="D9" s="42"/>
      <c r="F9" s="43"/>
      <c r="G9" s="260">
        <f>'4.Zidarski radovi'!G43</f>
        <v>0</v>
      </c>
    </row>
    <row r="10" spans="1:7" ht="12" customHeight="1">
      <c r="A10" s="39"/>
      <c r="B10" s="40"/>
      <c r="C10" s="41"/>
      <c r="D10" s="42"/>
      <c r="F10" s="43"/>
      <c r="G10" s="42"/>
    </row>
    <row r="11" spans="1:7">
      <c r="A11" s="39" t="s">
        <v>265</v>
      </c>
      <c r="B11" s="40" t="s">
        <v>285</v>
      </c>
      <c r="C11" s="41"/>
      <c r="D11" s="42"/>
      <c r="F11" s="43"/>
      <c r="G11" s="260">
        <f>'5.Termoizolaterski radovi'!G35</f>
        <v>0</v>
      </c>
    </row>
    <row r="12" spans="1:7" ht="12" customHeight="1">
      <c r="A12" s="39"/>
      <c r="B12" s="40"/>
      <c r="C12" s="41"/>
      <c r="D12" s="42"/>
      <c r="F12" s="43"/>
      <c r="G12" s="42"/>
    </row>
    <row r="13" spans="1:7">
      <c r="A13" s="39" t="s">
        <v>266</v>
      </c>
      <c r="B13" s="40" t="s">
        <v>286</v>
      </c>
      <c r="C13" s="41"/>
      <c r="D13" s="42"/>
      <c r="F13" s="43"/>
      <c r="G13" s="260">
        <f>'6. Hidroizolaterski radovi'!G35</f>
        <v>0</v>
      </c>
    </row>
    <row r="14" spans="1:7" ht="12" customHeight="1">
      <c r="A14" s="39"/>
      <c r="B14" s="40"/>
      <c r="C14" s="41"/>
      <c r="D14" s="42"/>
      <c r="F14" s="43"/>
      <c r="G14" s="42"/>
    </row>
    <row r="15" spans="1:7">
      <c r="A15" s="39" t="s">
        <v>267</v>
      </c>
      <c r="B15" s="40" t="s">
        <v>287</v>
      </c>
      <c r="C15" s="41"/>
      <c r="D15" s="42"/>
      <c r="F15" s="43"/>
      <c r="G15" s="260">
        <f>'7.Parketarski radovi'!G27</f>
        <v>0</v>
      </c>
    </row>
    <row r="16" spans="1:7" ht="12" customHeight="1">
      <c r="A16" s="39"/>
      <c r="B16" s="40"/>
      <c r="C16" s="41"/>
      <c r="D16" s="42"/>
      <c r="F16" s="43"/>
      <c r="G16" s="42"/>
    </row>
    <row r="17" spans="1:7">
      <c r="A17" s="39" t="s">
        <v>268</v>
      </c>
      <c r="B17" s="40" t="s">
        <v>288</v>
      </c>
      <c r="C17" s="41"/>
      <c r="D17" s="42"/>
      <c r="F17" s="43"/>
      <c r="G17" s="260">
        <f>'8.Keramičarski radovi'!G44</f>
        <v>0</v>
      </c>
    </row>
    <row r="18" spans="1:7" ht="12" customHeight="1">
      <c r="A18" s="39"/>
      <c r="B18" s="40"/>
      <c r="C18" s="41"/>
      <c r="D18" s="42"/>
      <c r="F18" s="43"/>
      <c r="G18" s="42"/>
    </row>
    <row r="19" spans="1:7">
      <c r="A19" s="39" t="s">
        <v>269</v>
      </c>
      <c r="B19" s="40" t="s">
        <v>492</v>
      </c>
      <c r="C19" s="41"/>
      <c r="D19" s="42"/>
      <c r="F19" s="43"/>
      <c r="G19" s="260">
        <f>'9.Podopolagački radovi'!G24</f>
        <v>0</v>
      </c>
    </row>
    <row r="20" spans="1:7" ht="12" customHeight="1">
      <c r="A20" s="39"/>
      <c r="B20" s="40"/>
      <c r="C20" s="41"/>
      <c r="D20" s="42"/>
      <c r="F20" s="43"/>
      <c r="G20" s="42"/>
    </row>
    <row r="21" spans="1:7">
      <c r="A21" s="39" t="s">
        <v>270</v>
      </c>
      <c r="B21" s="40" t="s">
        <v>289</v>
      </c>
      <c r="C21" s="41"/>
      <c r="D21" s="42"/>
      <c r="F21" s="43"/>
      <c r="G21" s="260">
        <f>'10.Gipskartonski radovi'!G46</f>
        <v>0</v>
      </c>
    </row>
    <row r="22" spans="1:7" ht="12" customHeight="1">
      <c r="A22" s="39"/>
      <c r="B22" s="40"/>
      <c r="C22" s="41"/>
      <c r="D22" s="42"/>
      <c r="F22" s="43"/>
      <c r="G22" s="42"/>
    </row>
    <row r="23" spans="1:7">
      <c r="A23" s="39" t="s">
        <v>271</v>
      </c>
      <c r="B23" s="40" t="s">
        <v>290</v>
      </c>
      <c r="C23" s="41"/>
      <c r="D23" s="42"/>
      <c r="F23" s="43"/>
      <c r="G23" s="260">
        <f>'11.Soboslikarski radovi'!G34</f>
        <v>0</v>
      </c>
    </row>
    <row r="24" spans="1:7" ht="12" customHeight="1">
      <c r="A24" s="39"/>
      <c r="B24" s="40"/>
      <c r="C24" s="41"/>
      <c r="D24" s="42"/>
      <c r="F24" s="43"/>
      <c r="G24" s="42"/>
    </row>
    <row r="25" spans="1:7">
      <c r="A25" s="39" t="s">
        <v>272</v>
      </c>
      <c r="B25" s="40" t="s">
        <v>291</v>
      </c>
      <c r="C25" s="41"/>
      <c r="D25" s="42"/>
      <c r="F25" s="43"/>
      <c r="G25" s="260">
        <f>'12.Fasaderski radovi'!G39</f>
        <v>0</v>
      </c>
    </row>
    <row r="26" spans="1:7" ht="12" customHeight="1">
      <c r="A26" s="39"/>
      <c r="B26" s="40"/>
      <c r="C26" s="41"/>
      <c r="D26" s="42"/>
      <c r="F26" s="43"/>
      <c r="G26" s="42"/>
    </row>
    <row r="27" spans="1:7">
      <c r="A27" s="39" t="s">
        <v>273</v>
      </c>
      <c r="B27" s="40" t="s">
        <v>292</v>
      </c>
      <c r="C27" s="41"/>
      <c r="D27" s="42"/>
      <c r="F27" s="43"/>
      <c r="G27" s="260">
        <f>'13.Limarski radovi'!G37</f>
        <v>0</v>
      </c>
    </row>
    <row r="28" spans="1:7" ht="12" customHeight="1">
      <c r="A28" s="39"/>
      <c r="B28" s="40"/>
      <c r="C28" s="41"/>
      <c r="D28" s="42"/>
      <c r="F28" s="43"/>
      <c r="G28" s="42"/>
    </row>
    <row r="29" spans="1:7">
      <c r="A29" s="39" t="s">
        <v>274</v>
      </c>
      <c r="B29" s="40" t="s">
        <v>535</v>
      </c>
      <c r="C29" s="41"/>
      <c r="D29" s="42"/>
      <c r="F29" s="43"/>
      <c r="G29" s="260">
        <f>'14.Kamenarski radovi'!G21</f>
        <v>0</v>
      </c>
    </row>
    <row r="30" spans="1:7" ht="12" customHeight="1">
      <c r="A30" s="39"/>
      <c r="B30" s="40"/>
      <c r="C30" s="41"/>
      <c r="D30" s="42"/>
      <c r="F30" s="43"/>
      <c r="G30" s="42"/>
    </row>
    <row r="31" spans="1:7">
      <c r="A31" s="39" t="s">
        <v>275</v>
      </c>
      <c r="B31" s="40" t="s">
        <v>293</v>
      </c>
      <c r="C31" s="41"/>
      <c r="D31" s="42"/>
      <c r="F31" s="43"/>
      <c r="G31" s="260">
        <f>'15.Stolarija'!G36</f>
        <v>0</v>
      </c>
    </row>
    <row r="32" spans="1:7" ht="12" customHeight="1">
      <c r="A32" s="39"/>
      <c r="B32" s="40"/>
      <c r="C32" s="41"/>
      <c r="D32" s="42"/>
      <c r="F32" s="43"/>
      <c r="G32" s="42"/>
    </row>
    <row r="33" spans="1:7">
      <c r="A33" s="39" t="s">
        <v>276</v>
      </c>
      <c r="B33" s="40" t="s">
        <v>294</v>
      </c>
      <c r="C33" s="41"/>
      <c r="D33" s="42"/>
      <c r="F33" s="43"/>
      <c r="G33" s="260">
        <f>'16.Alu. bravarija'!G80</f>
        <v>0</v>
      </c>
    </row>
    <row r="34" spans="1:7" ht="12" customHeight="1">
      <c r="A34" s="39"/>
      <c r="B34" s="40"/>
      <c r="C34" s="41"/>
      <c r="D34" s="42"/>
      <c r="F34" s="43"/>
      <c r="G34" s="42"/>
    </row>
    <row r="35" spans="1:7">
      <c r="A35" s="39" t="s">
        <v>277</v>
      </c>
      <c r="B35" s="40" t="s">
        <v>295</v>
      </c>
      <c r="C35" s="41"/>
      <c r="D35" s="42"/>
      <c r="F35" s="43"/>
      <c r="G35" s="260">
        <f>'17.PP bravarija'!G26</f>
        <v>0</v>
      </c>
    </row>
    <row r="36" spans="1:7" ht="12" customHeight="1">
      <c r="A36" s="39"/>
      <c r="B36" s="40"/>
      <c r="C36" s="41"/>
      <c r="D36" s="42"/>
      <c r="F36" s="43"/>
      <c r="G36" s="42"/>
    </row>
    <row r="37" spans="1:7">
      <c r="A37" s="39" t="s">
        <v>278</v>
      </c>
      <c r="B37" s="40" t="s">
        <v>296</v>
      </c>
      <c r="C37" s="41"/>
      <c r="D37" s="42"/>
      <c r="F37" s="43"/>
      <c r="G37" s="260">
        <f>'18.Crna Bravarija'!G35</f>
        <v>0</v>
      </c>
    </row>
    <row r="38" spans="1:7" ht="12" customHeight="1">
      <c r="A38" s="39"/>
      <c r="B38" s="40"/>
      <c r="C38" s="41"/>
      <c r="D38" s="42"/>
      <c r="F38" s="43"/>
      <c r="G38" s="42"/>
    </row>
    <row r="39" spans="1:7">
      <c r="A39" s="39" t="s">
        <v>279</v>
      </c>
      <c r="B39" s="40" t="s">
        <v>297</v>
      </c>
      <c r="C39" s="41"/>
      <c r="D39" s="42"/>
      <c r="F39" s="43"/>
      <c r="G39" s="260">
        <f>'19.Okoliš'!G69</f>
        <v>0</v>
      </c>
    </row>
    <row r="40" spans="1:7" ht="12" customHeight="1">
      <c r="A40" s="39"/>
      <c r="B40" s="40"/>
      <c r="C40" s="41"/>
      <c r="D40" s="42"/>
      <c r="F40" s="43"/>
      <c r="G40" s="42"/>
    </row>
    <row r="41" spans="1:7">
      <c r="A41" s="39" t="s">
        <v>280</v>
      </c>
      <c r="B41" s="40" t="s">
        <v>493</v>
      </c>
      <c r="C41" s="41"/>
      <c r="D41" s="42"/>
      <c r="F41" s="43"/>
      <c r="G41" s="260">
        <f>'20.Razni radovi'!G31</f>
        <v>0</v>
      </c>
    </row>
    <row r="42" spans="1:7" s="92" customFormat="1">
      <c r="A42" s="86"/>
      <c r="B42" s="207"/>
      <c r="C42" s="208"/>
      <c r="D42" s="96"/>
      <c r="E42" s="87"/>
      <c r="F42" s="97"/>
      <c r="G42" s="96"/>
    </row>
    <row r="43" spans="1:7" ht="15.75" thickBot="1"/>
    <row r="44" spans="1:7" ht="19.5" thickTop="1" thickBot="1">
      <c r="A44" s="186"/>
      <c r="B44" s="964" t="s">
        <v>1551</v>
      </c>
      <c r="C44" s="186"/>
      <c r="D44" s="186"/>
      <c r="F44" s="186"/>
      <c r="G44" s="260">
        <f>VIK!G379</f>
        <v>0</v>
      </c>
    </row>
    <row r="45" spans="1:7" ht="19.5" thickTop="1" thickBot="1">
      <c r="A45" s="186"/>
      <c r="B45" s="964" t="s">
        <v>1552</v>
      </c>
      <c r="C45" s="186"/>
      <c r="D45" s="186"/>
      <c r="F45" s="186"/>
      <c r="G45" s="260">
        <f>ELEKTRO!F477</f>
        <v>0</v>
      </c>
    </row>
    <row r="46" spans="1:7" ht="19.5" thickTop="1" thickBot="1">
      <c r="A46" s="186"/>
      <c r="B46" s="964" t="s">
        <v>1553</v>
      </c>
      <c r="C46" s="186"/>
      <c r="D46" s="186"/>
      <c r="F46" s="186"/>
      <c r="G46" s="260">
        <f>GHV!C561</f>
        <v>0</v>
      </c>
    </row>
    <row r="47" spans="1:7" ht="15.75" thickTop="1">
      <c r="A47" s="186"/>
      <c r="B47" s="186"/>
      <c r="C47" s="186"/>
      <c r="D47" s="186"/>
      <c r="F47" s="186"/>
      <c r="G47" s="260"/>
    </row>
    <row r="48" spans="1:7">
      <c r="A48" s="301"/>
      <c r="B48" s="302" t="s">
        <v>15</v>
      </c>
      <c r="C48" s="304"/>
      <c r="D48" s="303"/>
      <c r="E48" s="87"/>
      <c r="F48" s="299"/>
      <c r="G48" s="300">
        <f>SUM(G3:G46)</f>
        <v>0</v>
      </c>
    </row>
    <row r="49" spans="1:7">
      <c r="B49" s="305" t="s">
        <v>298</v>
      </c>
      <c r="C49" s="306"/>
      <c r="G49" s="260">
        <f>G48*0.25</f>
        <v>0</v>
      </c>
    </row>
    <row r="50" spans="1:7">
      <c r="A50" s="261"/>
      <c r="B50" s="265"/>
      <c r="C50" s="262"/>
      <c r="D50" s="263"/>
      <c r="E50" s="20"/>
      <c r="F50" s="264"/>
      <c r="G50" s="263"/>
    </row>
    <row r="51" spans="1:7">
      <c r="A51" s="266"/>
      <c r="B51" s="267" t="s">
        <v>299</v>
      </c>
      <c r="C51" s="268"/>
      <c r="D51" s="269"/>
      <c r="E51" s="270"/>
      <c r="F51" s="271"/>
      <c r="G51" s="272">
        <f>SUM(G48:G50)</f>
        <v>0</v>
      </c>
    </row>
  </sheetData>
  <mergeCells count="1">
    <mergeCell ref="F1:G1"/>
  </mergeCells>
  <pageMargins left="0.59055118110236215" right="0.19685039370078741" top="0.59055118110236215" bottom="0.59055118110236215" header="0.19685039370078741" footer="0.19685039370078741"/>
  <pageSetup paperSize="9" scale="9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0.249977111117893"/>
    <pageSetUpPr fitToPage="1"/>
  </sheetPr>
  <dimension ref="A1:L39"/>
  <sheetViews>
    <sheetView showZeros="0" view="pageBreakPreview" topLeftCell="A25" zoomScaleNormal="100" zoomScaleSheetLayoutView="100" workbookViewId="0">
      <selection activeCell="F20" sqref="F20"/>
    </sheetView>
  </sheetViews>
  <sheetFormatPr defaultRowHeight="15"/>
  <cols>
    <col min="1" max="1" width="5.7109375" style="59" customWidth="1"/>
    <col min="2" max="2" width="45.7109375" style="73" customWidth="1"/>
    <col min="3" max="3" width="6.7109375" style="74" customWidth="1"/>
    <col min="4" max="4" width="10.7109375" style="15" customWidth="1"/>
    <col min="5" max="5" width="2.7109375" style="11" customWidth="1"/>
    <col min="6" max="6" width="15.7109375" style="75" customWidth="1"/>
    <col min="7" max="7" width="15.7109375" style="15" customWidth="1"/>
  </cols>
  <sheetData>
    <row r="1" spans="1:8" s="4" customFormat="1" ht="18">
      <c r="A1" s="273"/>
      <c r="B1" s="274"/>
      <c r="C1" s="274"/>
      <c r="D1" s="274"/>
      <c r="E1" s="274"/>
      <c r="F1" s="274"/>
      <c r="G1" s="275"/>
    </row>
    <row r="2" spans="1:8" s="8" customFormat="1" ht="18">
      <c r="A2" s="5"/>
      <c r="B2" s="6" t="s">
        <v>0</v>
      </c>
      <c r="C2" s="6"/>
      <c r="D2" s="6"/>
      <c r="E2" s="6"/>
      <c r="F2" s="6"/>
      <c r="G2" s="7"/>
    </row>
    <row r="3" spans="1:8" s="4" customFormat="1" ht="18">
      <c r="A3" s="1"/>
      <c r="B3" s="2"/>
      <c r="C3" s="2"/>
      <c r="D3" s="2"/>
      <c r="E3" s="2"/>
      <c r="F3" s="2"/>
      <c r="G3" s="3"/>
    </row>
    <row r="4" spans="1:8" s="12" customFormat="1" ht="60" customHeight="1">
      <c r="A4" s="222"/>
      <c r="B4" s="9" t="s">
        <v>24</v>
      </c>
      <c r="C4" s="10"/>
      <c r="D4" s="223"/>
      <c r="E4" s="11"/>
      <c r="F4" s="969" t="s">
        <v>367</v>
      </c>
      <c r="G4" s="970"/>
    </row>
    <row r="5" spans="1:8" s="12" customFormat="1">
      <c r="A5" s="13"/>
      <c r="B5" s="14"/>
      <c r="C5" s="14"/>
      <c r="D5" s="15"/>
      <c r="E5" s="11"/>
      <c r="G5" s="15"/>
    </row>
    <row r="6" spans="1:8" s="12" customFormat="1">
      <c r="A6" s="16" t="s">
        <v>2</v>
      </c>
      <c r="B6" s="17" t="s">
        <v>3</v>
      </c>
      <c r="C6" s="18" t="s">
        <v>4</v>
      </c>
      <c r="D6" s="19" t="s">
        <v>5</v>
      </c>
      <c r="E6" s="20"/>
      <c r="F6" s="21" t="s">
        <v>6</v>
      </c>
      <c r="G6" s="19" t="s">
        <v>7</v>
      </c>
    </row>
    <row r="7" spans="1:8">
      <c r="A7" s="22"/>
      <c r="B7" s="23"/>
      <c r="C7" s="24"/>
      <c r="D7" s="25"/>
      <c r="E7" s="26"/>
      <c r="F7" s="26"/>
      <c r="G7" s="27"/>
    </row>
    <row r="8" spans="1:8" s="29" customFormat="1">
      <c r="A8" s="971" t="s">
        <v>8</v>
      </c>
      <c r="B8" s="972"/>
      <c r="C8" s="972"/>
      <c r="D8" s="972"/>
      <c r="E8" s="972"/>
      <c r="F8" s="972"/>
      <c r="G8" s="973"/>
      <c r="H8" s="28"/>
    </row>
    <row r="9" spans="1:8">
      <c r="A9" s="965"/>
      <c r="B9" s="966"/>
      <c r="C9" s="966"/>
      <c r="D9" s="966"/>
      <c r="E9" s="966"/>
      <c r="F9" s="966"/>
      <c r="G9" s="27"/>
    </row>
    <row r="10" spans="1:8" ht="48" customHeight="1">
      <c r="A10" s="967" t="s">
        <v>127</v>
      </c>
      <c r="B10" s="968"/>
      <c r="C10" s="968"/>
      <c r="D10" s="968"/>
      <c r="E10" s="968"/>
      <c r="F10" s="968"/>
      <c r="G10" s="27"/>
    </row>
    <row r="11" spans="1:8" ht="101.25" customHeight="1">
      <c r="A11" s="974" t="s">
        <v>128</v>
      </c>
      <c r="B11" s="975"/>
      <c r="C11" s="975"/>
      <c r="D11" s="975"/>
      <c r="E11" s="975"/>
      <c r="F11" s="975"/>
      <c r="G11" s="27"/>
    </row>
    <row r="12" spans="1:8" ht="27.75" customHeight="1">
      <c r="A12" s="967" t="s">
        <v>129</v>
      </c>
      <c r="B12" s="976"/>
      <c r="C12" s="976"/>
      <c r="D12" s="976"/>
      <c r="E12" s="976"/>
      <c r="F12" s="976"/>
      <c r="G12" s="27"/>
    </row>
    <row r="13" spans="1:8">
      <c r="A13" s="965"/>
      <c r="B13" s="966"/>
      <c r="C13" s="966"/>
      <c r="D13" s="966"/>
      <c r="E13" s="966"/>
      <c r="F13" s="966"/>
      <c r="G13" s="27"/>
    </row>
    <row r="14" spans="1:8">
      <c r="A14" s="965"/>
      <c r="B14" s="966"/>
      <c r="C14" s="966"/>
      <c r="D14" s="966"/>
      <c r="E14" s="966"/>
      <c r="F14" s="966"/>
      <c r="G14" s="27"/>
    </row>
    <row r="15" spans="1:8">
      <c r="A15" s="224"/>
      <c r="B15" s="225"/>
      <c r="C15" s="31"/>
      <c r="D15" s="32"/>
      <c r="E15" s="30"/>
      <c r="F15" s="30"/>
      <c r="G15" s="33"/>
    </row>
    <row r="16" spans="1:8">
      <c r="A16" s="224"/>
      <c r="B16" s="225"/>
      <c r="C16" s="31"/>
      <c r="D16" s="32"/>
      <c r="E16" s="30"/>
      <c r="F16" s="30"/>
      <c r="G16" s="33"/>
    </row>
    <row r="17" spans="1:12">
      <c r="A17" s="34"/>
      <c r="B17" s="35"/>
      <c r="C17" s="36"/>
      <c r="D17" s="36"/>
      <c r="E17" s="37"/>
      <c r="F17" s="36"/>
      <c r="G17" s="38"/>
    </row>
    <row r="18" spans="1:12">
      <c r="A18" s="39"/>
      <c r="B18" s="40"/>
      <c r="C18" s="41"/>
      <c r="D18" s="42"/>
      <c r="F18" s="43"/>
      <c r="G18" s="42"/>
    </row>
    <row r="19" spans="1:12" s="205" customFormat="1" ht="114.75">
      <c r="A19" s="202" t="s">
        <v>142</v>
      </c>
      <c r="B19" s="201" t="s">
        <v>344</v>
      </c>
      <c r="C19" s="46"/>
      <c r="D19" s="47"/>
      <c r="E19" s="203"/>
      <c r="F19" s="49"/>
      <c r="G19" s="204"/>
    </row>
    <row r="20" spans="1:12">
      <c r="A20" s="51"/>
      <c r="B20" s="52" t="s">
        <v>100</v>
      </c>
      <c r="C20" s="53" t="s">
        <v>10</v>
      </c>
      <c r="D20" s="54">
        <v>3960</v>
      </c>
      <c r="F20" s="55"/>
      <c r="G20" s="56">
        <f>$D20*F20</f>
        <v>0</v>
      </c>
      <c r="H20" s="88"/>
      <c r="I20" s="88"/>
      <c r="J20" s="88"/>
      <c r="K20" s="88"/>
      <c r="L20" s="88"/>
    </row>
    <row r="21" spans="1:12" s="186" customFormat="1">
      <c r="A21" s="39"/>
      <c r="B21" s="40"/>
      <c r="C21" s="41"/>
      <c r="D21" s="42"/>
      <c r="E21" s="11"/>
      <c r="F21" s="43"/>
      <c r="G21" s="42"/>
    </row>
    <row r="22" spans="1:12" s="205" customFormat="1" ht="96.75" customHeight="1">
      <c r="A22" s="218" t="s">
        <v>143</v>
      </c>
      <c r="B22" s="219" t="s">
        <v>345</v>
      </c>
      <c r="C22" s="53"/>
      <c r="D22" s="61"/>
      <c r="E22" s="220"/>
      <c r="F22" s="62"/>
      <c r="G22" s="221"/>
    </row>
    <row r="23" spans="1:12" s="186" customFormat="1">
      <c r="A23" s="51"/>
      <c r="B23" s="52" t="s">
        <v>21</v>
      </c>
      <c r="C23" s="53" t="s">
        <v>14</v>
      </c>
      <c r="D23" s="54">
        <f>((1028-412.52)*0.92)*1.1</f>
        <v>622.86576000000014</v>
      </c>
      <c r="E23" s="11"/>
      <c r="F23" s="55"/>
      <c r="G23" s="56">
        <f>$D23*F23</f>
        <v>0</v>
      </c>
      <c r="H23" s="88"/>
      <c r="I23" s="88"/>
      <c r="J23" s="88"/>
      <c r="K23" s="88"/>
      <c r="L23" s="88"/>
    </row>
    <row r="24" spans="1:12">
      <c r="A24" s="39"/>
      <c r="B24" s="57"/>
      <c r="C24" s="41"/>
      <c r="F24" s="58"/>
    </row>
    <row r="25" spans="1:12" s="77" customFormat="1" ht="102">
      <c r="A25" s="86" t="s">
        <v>144</v>
      </c>
      <c r="B25" s="60" t="s">
        <v>91</v>
      </c>
      <c r="C25" s="53"/>
      <c r="D25" s="61"/>
      <c r="E25" s="87"/>
      <c r="F25" s="62"/>
      <c r="G25" s="56"/>
    </row>
    <row r="26" spans="1:12" s="77" customFormat="1">
      <c r="A26" s="63"/>
      <c r="B26" s="64" t="s">
        <v>23</v>
      </c>
      <c r="C26" s="53" t="s">
        <v>22</v>
      </c>
      <c r="D26" s="54">
        <f>(1028-412.52)</f>
        <v>615.48</v>
      </c>
      <c r="E26" s="87"/>
      <c r="F26" s="55"/>
      <c r="G26" s="56">
        <f>$D26*F26</f>
        <v>0</v>
      </c>
    </row>
    <row r="27" spans="1:12">
      <c r="A27" s="39"/>
      <c r="B27" s="57"/>
      <c r="C27" s="41"/>
      <c r="F27" s="58"/>
    </row>
    <row r="28" spans="1:12" s="77" customFormat="1" ht="63.75">
      <c r="A28" s="86" t="s">
        <v>145</v>
      </c>
      <c r="B28" s="98" t="s">
        <v>507</v>
      </c>
      <c r="C28" s="53"/>
      <c r="D28" s="61"/>
      <c r="E28" s="87"/>
      <c r="F28" s="62"/>
      <c r="G28" s="56"/>
    </row>
    <row r="29" spans="1:12" s="77" customFormat="1">
      <c r="A29" s="63"/>
      <c r="B29" s="64" t="s">
        <v>25</v>
      </c>
      <c r="C29" s="53" t="s">
        <v>26</v>
      </c>
      <c r="D29" s="54">
        <f>658.22*1.1</f>
        <v>724.04200000000014</v>
      </c>
      <c r="E29" s="87"/>
      <c r="F29" s="55"/>
      <c r="G29" s="56">
        <f>$D29*F29</f>
        <v>0</v>
      </c>
    </row>
    <row r="30" spans="1:12" s="186" customFormat="1">
      <c r="A30" s="39"/>
      <c r="B30" s="57"/>
      <c r="C30" s="41"/>
      <c r="D30" s="15"/>
      <c r="E30" s="11"/>
      <c r="F30" s="58"/>
      <c r="G30" s="15"/>
    </row>
    <row r="31" spans="1:12" s="77" customFormat="1" ht="114.75">
      <c r="A31" s="86" t="s">
        <v>146</v>
      </c>
      <c r="B31" s="98" t="s">
        <v>150</v>
      </c>
      <c r="C31" s="53"/>
      <c r="D31" s="61"/>
      <c r="E31" s="87"/>
      <c r="F31" s="62"/>
      <c r="G31" s="56"/>
    </row>
    <row r="32" spans="1:12" s="77" customFormat="1">
      <c r="A32" s="63"/>
      <c r="B32" s="64" t="s">
        <v>152</v>
      </c>
      <c r="C32" s="53" t="s">
        <v>26</v>
      </c>
      <c r="D32" s="54">
        <v>10</v>
      </c>
      <c r="E32" s="87"/>
      <c r="F32" s="55"/>
      <c r="G32" s="56">
        <f>$D32*F32</f>
        <v>0</v>
      </c>
    </row>
    <row r="33" spans="1:7">
      <c r="A33" s="39"/>
      <c r="B33" s="57"/>
      <c r="C33" s="41"/>
      <c r="F33" s="58"/>
    </row>
    <row r="34" spans="1:7" s="77" customFormat="1">
      <c r="A34" s="84"/>
      <c r="B34" s="85"/>
      <c r="C34" s="81"/>
      <c r="D34" s="82"/>
      <c r="E34" s="76"/>
      <c r="F34" s="83"/>
      <c r="G34" s="80"/>
    </row>
    <row r="35" spans="1:7" s="92" customFormat="1">
      <c r="A35" s="68"/>
      <c r="B35" s="69" t="s">
        <v>24</v>
      </c>
      <c r="C35" s="70"/>
      <c r="D35" s="89"/>
      <c r="E35" s="90"/>
      <c r="F35" s="71"/>
      <c r="G35" s="91"/>
    </row>
    <row r="36" spans="1:7" s="92" customFormat="1">
      <c r="A36" s="66"/>
      <c r="B36" s="67" t="s">
        <v>15</v>
      </c>
      <c r="C36" s="206"/>
      <c r="D36" s="93"/>
      <c r="E36" s="87"/>
      <c r="F36" s="65"/>
      <c r="G36" s="72">
        <f>SUM(G19:G35)</f>
        <v>0</v>
      </c>
    </row>
    <row r="37" spans="1:7" s="92" customFormat="1">
      <c r="A37" s="277"/>
      <c r="B37" s="278"/>
      <c r="C37" s="279"/>
      <c r="D37" s="91"/>
      <c r="E37" s="90"/>
      <c r="F37" s="280"/>
      <c r="G37" s="91"/>
    </row>
    <row r="38" spans="1:7">
      <c r="B38" s="199"/>
    </row>
    <row r="39" spans="1:7">
      <c r="B39" s="199"/>
    </row>
  </sheetData>
  <mergeCells count="8">
    <mergeCell ref="F4:G4"/>
    <mergeCell ref="A14:F14"/>
    <mergeCell ref="A8:G8"/>
    <mergeCell ref="A9:F9"/>
    <mergeCell ref="A10:F10"/>
    <mergeCell ref="A11:F11"/>
    <mergeCell ref="A12:F12"/>
    <mergeCell ref="A13:F13"/>
  </mergeCells>
  <pageMargins left="0.59055118110236227" right="0.19685039370078741" top="0.59055118110236227" bottom="0.59055118110236227" header="0.19685039370078741" footer="0.19685039370078741"/>
  <pageSetup paperSize="9" scale="91" fitToHeight="0" orientation="portrait" r:id="rId1"/>
  <ignoredErrors>
    <ignoredError sqref="D2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499984740745262"/>
    <pageSetUpPr fitToPage="1"/>
  </sheetPr>
  <dimension ref="A1:L96"/>
  <sheetViews>
    <sheetView showZeros="0" view="pageBreakPreview" topLeftCell="A32" zoomScaleNormal="100" zoomScaleSheetLayoutView="100" workbookViewId="0">
      <selection activeCell="F20" sqref="F20"/>
    </sheetView>
  </sheetViews>
  <sheetFormatPr defaultRowHeight="15"/>
  <cols>
    <col min="1" max="1" width="5.7109375" style="235" customWidth="1"/>
    <col min="2" max="2" width="45.7109375" style="73" customWidth="1"/>
    <col min="3" max="3" width="6.7109375" style="74" customWidth="1"/>
    <col min="4" max="4" width="10.7109375" style="15" customWidth="1"/>
    <col min="5" max="5" width="2.7109375" style="11" customWidth="1"/>
    <col min="6" max="6" width="15.7109375" style="75" customWidth="1"/>
    <col min="7" max="7" width="15.7109375" style="15" customWidth="1"/>
  </cols>
  <sheetData>
    <row r="1" spans="1:8" s="4" customFormat="1" ht="18">
      <c r="A1" s="293"/>
      <c r="B1" s="274"/>
      <c r="C1" s="274"/>
      <c r="D1" s="274"/>
      <c r="E1" s="274"/>
      <c r="F1" s="274"/>
      <c r="G1" s="275"/>
    </row>
    <row r="2" spans="1:8" s="8" customFormat="1" ht="18">
      <c r="A2" s="230"/>
      <c r="B2" s="6" t="s">
        <v>0</v>
      </c>
      <c r="C2" s="6"/>
      <c r="D2" s="6"/>
      <c r="E2" s="6"/>
      <c r="F2" s="6"/>
      <c r="G2" s="7"/>
    </row>
    <row r="3" spans="1:8" s="4" customFormat="1" ht="18">
      <c r="A3" s="229"/>
      <c r="B3" s="2"/>
      <c r="C3" s="2"/>
      <c r="D3" s="2"/>
      <c r="E3" s="2"/>
      <c r="F3" s="2"/>
      <c r="G3" s="3"/>
    </row>
    <row r="4" spans="1:8" s="12" customFormat="1" ht="60" customHeight="1">
      <c r="A4" s="231"/>
      <c r="B4" s="9" t="s">
        <v>31</v>
      </c>
      <c r="C4" s="10"/>
      <c r="D4" s="223"/>
      <c r="E4" s="11"/>
      <c r="F4" s="969" t="s">
        <v>367</v>
      </c>
      <c r="G4" s="970"/>
    </row>
    <row r="5" spans="1:8" s="12" customFormat="1">
      <c r="A5" s="13"/>
      <c r="B5" s="14"/>
      <c r="C5" s="14"/>
      <c r="D5" s="15"/>
      <c r="E5" s="11"/>
      <c r="G5" s="15"/>
    </row>
    <row r="6" spans="1:8" s="12" customFormat="1">
      <c r="A6" s="16" t="s">
        <v>2</v>
      </c>
      <c r="B6" s="17" t="s">
        <v>3</v>
      </c>
      <c r="C6" s="18" t="s">
        <v>4</v>
      </c>
      <c r="D6" s="19" t="s">
        <v>6</v>
      </c>
      <c r="E6" s="20"/>
      <c r="F6" s="21" t="s">
        <v>34</v>
      </c>
      <c r="G6" s="19" t="s">
        <v>7</v>
      </c>
    </row>
    <row r="7" spans="1:8">
      <c r="A7" s="232"/>
      <c r="B7" s="23"/>
      <c r="C7" s="24"/>
      <c r="D7" s="25"/>
      <c r="E7" s="26"/>
      <c r="F7" s="26"/>
      <c r="G7" s="27"/>
    </row>
    <row r="8" spans="1:8" s="29" customFormat="1">
      <c r="A8" s="971" t="s">
        <v>8</v>
      </c>
      <c r="B8" s="972"/>
      <c r="C8" s="972"/>
      <c r="D8" s="972"/>
      <c r="E8" s="972"/>
      <c r="F8" s="972"/>
      <c r="G8" s="973"/>
      <c r="H8" s="28"/>
    </row>
    <row r="9" spans="1:8">
      <c r="A9" s="965"/>
      <c r="B9" s="966"/>
      <c r="C9" s="966"/>
      <c r="D9" s="966"/>
      <c r="E9" s="966"/>
      <c r="F9" s="966"/>
      <c r="G9" s="27"/>
    </row>
    <row r="10" spans="1:8" ht="189" customHeight="1">
      <c r="A10" s="977" t="s">
        <v>154</v>
      </c>
      <c r="B10" s="978"/>
      <c r="C10" s="978"/>
      <c r="D10" s="978"/>
      <c r="E10" s="978"/>
      <c r="F10" s="978"/>
      <c r="G10" s="27"/>
    </row>
    <row r="11" spans="1:8" ht="37.5" customHeight="1">
      <c r="A11" s="967" t="s">
        <v>28</v>
      </c>
      <c r="B11" s="968"/>
      <c r="C11" s="968"/>
      <c r="D11" s="968"/>
      <c r="E11" s="968"/>
      <c r="F11" s="968"/>
      <c r="G11" s="27"/>
    </row>
    <row r="12" spans="1:8" ht="61.5" customHeight="1">
      <c r="A12" s="967" t="s">
        <v>155</v>
      </c>
      <c r="B12" s="968"/>
      <c r="C12" s="968"/>
      <c r="D12" s="968"/>
      <c r="E12" s="968"/>
      <c r="F12" s="968"/>
      <c r="G12" s="27"/>
    </row>
    <row r="13" spans="1:8" ht="26.25" customHeight="1">
      <c r="A13" s="967" t="s">
        <v>156</v>
      </c>
      <c r="B13" s="968"/>
      <c r="C13" s="968"/>
      <c r="D13" s="968"/>
      <c r="E13" s="968"/>
      <c r="F13" s="968"/>
      <c r="G13" s="27"/>
    </row>
    <row r="14" spans="1:8">
      <c r="A14" s="965"/>
      <c r="B14" s="966"/>
      <c r="C14" s="966"/>
      <c r="D14" s="966"/>
      <c r="E14" s="966"/>
      <c r="F14" s="966"/>
      <c r="G14" s="27"/>
    </row>
    <row r="15" spans="1:8">
      <c r="A15" s="233"/>
      <c r="B15" s="225"/>
      <c r="C15" s="31"/>
      <c r="D15" s="32"/>
      <c r="E15" s="30"/>
      <c r="F15" s="30"/>
      <c r="G15" s="33"/>
    </row>
    <row r="16" spans="1:8">
      <c r="A16" s="233"/>
      <c r="B16" s="225"/>
      <c r="C16" s="31"/>
      <c r="D16" s="32"/>
      <c r="E16" s="30"/>
      <c r="F16" s="30"/>
      <c r="G16" s="33"/>
    </row>
    <row r="17" spans="1:12">
      <c r="A17" s="234"/>
      <c r="B17" s="35"/>
      <c r="C17" s="36"/>
      <c r="D17" s="36"/>
      <c r="E17" s="37"/>
      <c r="F17" s="36"/>
      <c r="G17" s="38"/>
    </row>
    <row r="18" spans="1:12">
      <c r="A18" s="39"/>
      <c r="B18" s="40"/>
      <c r="C18" s="41"/>
      <c r="D18" s="42"/>
      <c r="F18" s="43"/>
      <c r="G18" s="42"/>
    </row>
    <row r="19" spans="1:12" ht="42.75" customHeight="1">
      <c r="A19" s="44" t="s">
        <v>310</v>
      </c>
      <c r="B19" s="45" t="s">
        <v>471</v>
      </c>
      <c r="C19" s="46"/>
      <c r="D19" s="47"/>
      <c r="E19" s="48"/>
      <c r="F19" s="49"/>
      <c r="G19" s="50"/>
    </row>
    <row r="20" spans="1:12">
      <c r="A20" s="51"/>
      <c r="B20" s="52" t="s">
        <v>149</v>
      </c>
      <c r="C20" s="53" t="s">
        <v>14</v>
      </c>
      <c r="D20" s="54">
        <f>381.95*0.1</f>
        <v>38.195</v>
      </c>
      <c r="F20" s="55"/>
      <c r="G20" s="56">
        <f>$D20*F20</f>
        <v>0</v>
      </c>
      <c r="H20" s="88"/>
      <c r="I20" s="88"/>
      <c r="J20" s="88"/>
      <c r="K20" s="88"/>
      <c r="L20" s="88"/>
    </row>
    <row r="21" spans="1:12">
      <c r="A21" s="39"/>
      <c r="B21" s="57"/>
      <c r="C21" s="41"/>
      <c r="F21" s="58"/>
    </row>
    <row r="22" spans="1:12" s="77" customFormat="1" ht="104.25" customHeight="1">
      <c r="A22" s="13" t="s">
        <v>311</v>
      </c>
      <c r="B22" s="60" t="s">
        <v>157</v>
      </c>
      <c r="C22" s="53"/>
      <c r="D22" s="61"/>
      <c r="E22" s="87"/>
      <c r="F22" s="62"/>
      <c r="G22" s="56"/>
    </row>
    <row r="23" spans="1:12" s="77" customFormat="1">
      <c r="A23" s="99"/>
      <c r="B23" s="64" t="s">
        <v>89</v>
      </c>
      <c r="C23" s="53" t="s">
        <v>14</v>
      </c>
      <c r="D23" s="54">
        <v>3</v>
      </c>
      <c r="E23" s="87"/>
      <c r="F23" s="55"/>
      <c r="G23" s="56">
        <f>$D23*F23</f>
        <v>0</v>
      </c>
    </row>
    <row r="24" spans="1:12">
      <c r="A24" s="39"/>
      <c r="B24" s="57"/>
      <c r="C24" s="41"/>
      <c r="F24" s="58"/>
    </row>
    <row r="25" spans="1:12">
      <c r="A25" s="39"/>
      <c r="B25" s="57"/>
      <c r="C25" s="41"/>
      <c r="F25" s="58"/>
    </row>
    <row r="26" spans="1:12" s="77" customFormat="1" ht="57" customHeight="1">
      <c r="A26" s="13" t="s">
        <v>312</v>
      </c>
      <c r="B26" s="60" t="s">
        <v>347</v>
      </c>
      <c r="C26" s="53"/>
      <c r="D26" s="61"/>
      <c r="E26" s="87"/>
      <c r="F26" s="62"/>
      <c r="G26" s="56"/>
    </row>
    <row r="27" spans="1:12" s="77" customFormat="1">
      <c r="A27" s="99" t="s">
        <v>190</v>
      </c>
      <c r="B27" s="64" t="s">
        <v>346</v>
      </c>
      <c r="C27" s="53" t="s">
        <v>14</v>
      </c>
      <c r="D27" s="54">
        <f>310.98*0.6</f>
        <v>186.58799999999999</v>
      </c>
      <c r="E27" s="87"/>
      <c r="F27" s="55"/>
      <c r="G27" s="56">
        <f>$D27*F27</f>
        <v>0</v>
      </c>
    </row>
    <row r="28" spans="1:12" s="77" customFormat="1">
      <c r="A28" s="99" t="s">
        <v>191</v>
      </c>
      <c r="B28" s="64" t="s">
        <v>30</v>
      </c>
      <c r="C28" s="53" t="s">
        <v>22</v>
      </c>
      <c r="D28" s="54">
        <f>721.7*0.6</f>
        <v>433.02000000000004</v>
      </c>
      <c r="E28" s="87"/>
      <c r="F28" s="55"/>
      <c r="G28" s="56">
        <f>$D28*F28</f>
        <v>0</v>
      </c>
    </row>
    <row r="29" spans="1:12">
      <c r="A29" s="39"/>
      <c r="B29" s="57"/>
      <c r="C29" s="41"/>
      <c r="F29" s="58"/>
    </row>
    <row r="30" spans="1:12" s="77" customFormat="1" ht="63.75">
      <c r="A30" s="13" t="s">
        <v>313</v>
      </c>
      <c r="B30" s="60" t="s">
        <v>348</v>
      </c>
      <c r="C30" s="53"/>
      <c r="D30" s="61"/>
      <c r="E30" s="87"/>
      <c r="F30" s="62"/>
      <c r="G30" s="56"/>
    </row>
    <row r="31" spans="1:12" s="77" customFormat="1">
      <c r="A31" s="99" t="s">
        <v>190</v>
      </c>
      <c r="B31" s="64" t="s">
        <v>346</v>
      </c>
      <c r="C31" s="53" t="s">
        <v>14</v>
      </c>
      <c r="D31" s="54">
        <f>99.02*1.39</f>
        <v>137.6378</v>
      </c>
      <c r="E31" s="87"/>
      <c r="F31" s="55"/>
      <c r="G31" s="56">
        <f>$D31*F31</f>
        <v>0</v>
      </c>
    </row>
    <row r="32" spans="1:12" s="77" customFormat="1">
      <c r="A32" s="99" t="s">
        <v>192</v>
      </c>
      <c r="B32" s="64" t="s">
        <v>30</v>
      </c>
      <c r="C32" s="53" t="s">
        <v>22</v>
      </c>
      <c r="D32" s="54">
        <f>793.39*1.39</f>
        <v>1102.8120999999999</v>
      </c>
      <c r="E32" s="87"/>
      <c r="F32" s="55"/>
      <c r="G32" s="56">
        <f>$D32*F32</f>
        <v>0</v>
      </c>
    </row>
    <row r="33" spans="1:7">
      <c r="A33" s="39"/>
      <c r="B33" s="57"/>
      <c r="C33" s="41"/>
      <c r="F33" s="58"/>
    </row>
    <row r="34" spans="1:7" s="77" customFormat="1" ht="83.25" customHeight="1">
      <c r="A34" s="13" t="s">
        <v>314</v>
      </c>
      <c r="B34" s="60" t="s">
        <v>350</v>
      </c>
      <c r="C34" s="53"/>
      <c r="D34" s="61"/>
      <c r="E34" s="87"/>
      <c r="F34" s="62"/>
      <c r="G34" s="56"/>
    </row>
    <row r="35" spans="1:7" s="77" customFormat="1">
      <c r="A35" s="99" t="s">
        <v>190</v>
      </c>
      <c r="B35" s="64" t="s">
        <v>346</v>
      </c>
      <c r="C35" s="53" t="s">
        <v>26</v>
      </c>
      <c r="D35" s="179">
        <f>957.06*0.15</f>
        <v>143.559</v>
      </c>
      <c r="E35" s="87"/>
      <c r="F35" s="55"/>
      <c r="G35" s="56">
        <f>$D35*F35</f>
        <v>0</v>
      </c>
    </row>
    <row r="36" spans="1:7" s="77" customFormat="1">
      <c r="A36" s="99" t="s">
        <v>193</v>
      </c>
      <c r="B36" s="64" t="s">
        <v>351</v>
      </c>
      <c r="C36" s="53" t="s">
        <v>22</v>
      </c>
      <c r="D36" s="179">
        <f>129.8*0.15</f>
        <v>19.470000000000002</v>
      </c>
      <c r="E36" s="87"/>
      <c r="F36" s="55"/>
      <c r="G36" s="56">
        <f>$D36*F36</f>
        <v>0</v>
      </c>
    </row>
    <row r="37" spans="1:7">
      <c r="A37" s="39"/>
      <c r="B37" s="57"/>
      <c r="C37" s="41"/>
      <c r="F37" s="58"/>
    </row>
    <row r="38" spans="1:7" s="77" customFormat="1" ht="53.25" customHeight="1">
      <c r="A38" s="13" t="s">
        <v>315</v>
      </c>
      <c r="B38" s="60" t="s">
        <v>349</v>
      </c>
      <c r="C38" s="53"/>
      <c r="D38" s="61"/>
      <c r="E38" s="87"/>
      <c r="F38" s="62"/>
      <c r="G38" s="56"/>
    </row>
    <row r="39" spans="1:7" s="77" customFormat="1">
      <c r="A39" s="99" t="s">
        <v>190</v>
      </c>
      <c r="B39" s="64" t="s">
        <v>346</v>
      </c>
      <c r="C39" s="53" t="s">
        <v>26</v>
      </c>
      <c r="D39" s="54">
        <f>0.07*2.56*2</f>
        <v>0.35840000000000005</v>
      </c>
      <c r="E39" s="87"/>
      <c r="F39" s="55"/>
      <c r="G39" s="56">
        <f>$D39*F39</f>
        <v>0</v>
      </c>
    </row>
    <row r="40" spans="1:7" s="77" customFormat="1">
      <c r="A40" s="99" t="s">
        <v>191</v>
      </c>
      <c r="B40" s="64" t="s">
        <v>30</v>
      </c>
      <c r="C40" s="53" t="s">
        <v>22</v>
      </c>
      <c r="D40" s="54">
        <f>0.94*2*2.56</f>
        <v>4.8128000000000002</v>
      </c>
      <c r="E40" s="87"/>
      <c r="F40" s="55"/>
      <c r="G40" s="56">
        <f>$D40*F40</f>
        <v>0</v>
      </c>
    </row>
    <row r="41" spans="1:7">
      <c r="A41" s="39"/>
      <c r="B41" s="57"/>
      <c r="C41" s="41"/>
      <c r="F41" s="58"/>
    </row>
    <row r="42" spans="1:7" s="77" customFormat="1" ht="82.5" customHeight="1">
      <c r="A42" s="13" t="s">
        <v>472</v>
      </c>
      <c r="B42" s="60" t="s">
        <v>476</v>
      </c>
      <c r="C42" s="53"/>
      <c r="D42" s="61"/>
      <c r="E42" s="87"/>
      <c r="F42" s="62"/>
      <c r="G42" s="56"/>
    </row>
    <row r="43" spans="1:7" s="77" customFormat="1">
      <c r="A43" s="99" t="s">
        <v>190</v>
      </c>
      <c r="B43" s="64" t="s">
        <v>32</v>
      </c>
      <c r="C43" s="53" t="s">
        <v>26</v>
      </c>
      <c r="D43" s="54">
        <f>((39.35*3.15)+(11.53*4.53)+(12.85*3.94))+(24.72*0.25*2)+(12.25*0.25*2)+(25.35*0.25*0.58)+(1.15*0.25*25.35)+(1.2*3.94)+(7.2*0.25*2)+(6.03*0.25*3.93)</f>
        <v>270.51374999999996</v>
      </c>
      <c r="E43" s="87"/>
      <c r="F43" s="55"/>
      <c r="G43" s="56">
        <f>$D43*F43</f>
        <v>0</v>
      </c>
    </row>
    <row r="44" spans="1:7" s="77" customFormat="1">
      <c r="A44" s="99" t="s">
        <v>191</v>
      </c>
      <c r="B44" s="64" t="s">
        <v>30</v>
      </c>
      <c r="C44" s="53" t="s">
        <v>22</v>
      </c>
      <c r="D44" s="54">
        <f>(323.37*3.15)+(93.39*4.53)+(118.79*3.94)+(24.72*4)+(12.25*4)+(25.35*0.58*2)+(1.15*25.23*2)+(7.2*4)+(12.43*3.93)</f>
        <v>2222.6697000000004</v>
      </c>
      <c r="E44" s="87"/>
      <c r="F44" s="55"/>
      <c r="G44" s="56">
        <f>$D44*F44</f>
        <v>0</v>
      </c>
    </row>
    <row r="45" spans="1:7" s="186" customFormat="1">
      <c r="A45" s="39"/>
      <c r="B45" s="57"/>
      <c r="C45" s="41"/>
      <c r="D45" s="15"/>
      <c r="E45" s="11"/>
      <c r="F45" s="58"/>
      <c r="G45" s="15"/>
    </row>
    <row r="46" spans="1:7" s="77" customFormat="1" ht="52.5" customHeight="1">
      <c r="A46" s="13" t="s">
        <v>473</v>
      </c>
      <c r="B46" s="60" t="s">
        <v>64</v>
      </c>
      <c r="C46" s="53"/>
      <c r="D46" s="61"/>
      <c r="E46" s="87"/>
      <c r="F46" s="62"/>
      <c r="G46" s="56"/>
    </row>
    <row r="47" spans="1:7" s="77" customFormat="1">
      <c r="A47" s="99" t="s">
        <v>190</v>
      </c>
      <c r="B47" s="64" t="s">
        <v>151</v>
      </c>
      <c r="C47" s="53" t="s">
        <v>26</v>
      </c>
      <c r="D47" s="54">
        <f>(5.81*0.4)+(3*0.25*2)+(2.4*0.25*0.6*2)+(5.52*0.58)+(2.4*0.25*1.38*2)+(4.25*0.58)+((2.65+2.4+1.8)*0.25*1.38)*(4.4*0.25*0.4)+(8.35*0.3*0.4*2)+(2.93*0.78)+(0.78*0.25*2)</f>
        <v>17.585830000000001</v>
      </c>
      <c r="E47" s="87"/>
      <c r="F47" s="55"/>
      <c r="G47" s="56">
        <f>$D47*F47</f>
        <v>0</v>
      </c>
    </row>
    <row r="48" spans="1:7" s="77" customFormat="1">
      <c r="A48" s="99" t="s">
        <v>191</v>
      </c>
      <c r="B48" s="64" t="s">
        <v>30</v>
      </c>
      <c r="C48" s="53" t="s">
        <v>22</v>
      </c>
      <c r="D48" s="54">
        <f>(48.5-2)*0.4+(3*4+3*0.25*2)+(1.45*2.4*2)+(38.06*0.58+5.52)+((1.38+0.25+1.38)*2.4*2)+(4.25+(17*0.58*2))+(3.01*6.85)+(1.05*4.4)+(8.35*1.1*2)+(23.4*0.78+2.93)+(1.81*2)</f>
        <v>173.48329999999999</v>
      </c>
      <c r="E48" s="87"/>
      <c r="F48" s="55"/>
      <c r="G48" s="56">
        <f>$D48*F48</f>
        <v>0</v>
      </c>
    </row>
    <row r="49" spans="1:7" s="186" customFormat="1">
      <c r="A49" s="39"/>
      <c r="B49" s="57"/>
      <c r="C49" s="41"/>
      <c r="D49" s="15"/>
      <c r="E49" s="11"/>
      <c r="F49" s="58"/>
      <c r="G49" s="15"/>
    </row>
    <row r="50" spans="1:7" s="77" customFormat="1" ht="52.5" customHeight="1">
      <c r="A50" s="13" t="s">
        <v>474</v>
      </c>
      <c r="B50" s="60" t="s">
        <v>355</v>
      </c>
      <c r="C50" s="53"/>
      <c r="D50" s="61"/>
      <c r="E50" s="87"/>
      <c r="F50" s="62"/>
      <c r="G50" s="56"/>
    </row>
    <row r="51" spans="1:7" s="77" customFormat="1">
      <c r="A51" s="99" t="s">
        <v>190</v>
      </c>
      <c r="B51" s="64" t="s">
        <v>33</v>
      </c>
      <c r="C51" s="53" t="s">
        <v>26</v>
      </c>
      <c r="D51" s="54">
        <f>(24.3*0.8)+(25.6*0.3*0.25)+(4.68*1.6)+(2.75*0.58*0.25)+(7.79*0.4)+(6.12*0.25)+(25.25*0.25*1.6)</f>
        <v>43.992750000000001</v>
      </c>
      <c r="E51" s="87"/>
      <c r="F51" s="55"/>
      <c r="G51" s="56">
        <f>$D51*F51</f>
        <v>0</v>
      </c>
    </row>
    <row r="52" spans="1:7" s="77" customFormat="1">
      <c r="A52" s="99" t="s">
        <v>191</v>
      </c>
      <c r="B52" s="64" t="s">
        <v>30</v>
      </c>
      <c r="C52" s="53" t="s">
        <v>22</v>
      </c>
      <c r="D52" s="54">
        <f>(194.4*0.8)+(25.6*0.3*2)+(38*1.6)+(2.75*0.58*2)+(6.12*2)+(1.6*25.25*2)</f>
        <v>327.91</v>
      </c>
      <c r="E52" s="87"/>
      <c r="F52" s="55"/>
      <c r="G52" s="56">
        <f>$D52*F52</f>
        <v>0</v>
      </c>
    </row>
    <row r="53" spans="1:7">
      <c r="A53" s="39"/>
      <c r="B53" s="57"/>
      <c r="C53" s="41"/>
      <c r="F53" s="58"/>
    </row>
    <row r="54" spans="1:7" s="77" customFormat="1" ht="63.75">
      <c r="A54" s="13" t="s">
        <v>316</v>
      </c>
      <c r="B54" s="60" t="s">
        <v>352</v>
      </c>
      <c r="C54" s="53"/>
      <c r="D54" s="61"/>
      <c r="E54" s="87"/>
      <c r="F54" s="62"/>
      <c r="G54" s="56"/>
    </row>
    <row r="55" spans="1:7" s="77" customFormat="1">
      <c r="A55" s="99" t="s">
        <v>190</v>
      </c>
      <c r="B55" s="64" t="s">
        <v>33</v>
      </c>
      <c r="C55" s="53" t="s">
        <v>26</v>
      </c>
      <c r="D55" s="54">
        <f>314.98*0.2</f>
        <v>62.996000000000009</v>
      </c>
      <c r="E55" s="87"/>
      <c r="F55" s="55"/>
      <c r="G55" s="56">
        <f>$D55*F55</f>
        <v>0</v>
      </c>
    </row>
    <row r="56" spans="1:7" s="77" customFormat="1">
      <c r="A56" s="99" t="s">
        <v>191</v>
      </c>
      <c r="B56" s="64" t="s">
        <v>30</v>
      </c>
      <c r="C56" s="53" t="s">
        <v>22</v>
      </c>
      <c r="D56" s="54">
        <f>232.56*0.2+314.98</f>
        <v>361.49200000000002</v>
      </c>
      <c r="E56" s="87"/>
      <c r="F56" s="55"/>
      <c r="G56" s="56">
        <f>$D56*F56</f>
        <v>0</v>
      </c>
    </row>
    <row r="57" spans="1:7">
      <c r="A57" s="39"/>
      <c r="B57" s="57"/>
      <c r="C57" s="41"/>
      <c r="F57" s="58"/>
    </row>
    <row r="58" spans="1:7" s="77" customFormat="1" ht="68.25" customHeight="1">
      <c r="A58" s="13" t="s">
        <v>317</v>
      </c>
      <c r="B58" s="60" t="s">
        <v>353</v>
      </c>
      <c r="C58" s="53"/>
      <c r="D58" s="61"/>
      <c r="E58" s="87"/>
      <c r="F58" s="62"/>
      <c r="G58" s="56"/>
    </row>
    <row r="59" spans="1:7" s="77" customFormat="1">
      <c r="A59" s="99" t="s">
        <v>190</v>
      </c>
      <c r="B59" s="64" t="s">
        <v>33</v>
      </c>
      <c r="C59" s="53" t="s">
        <v>26</v>
      </c>
      <c r="D59" s="54">
        <f>508.75*0.22</f>
        <v>111.925</v>
      </c>
      <c r="E59" s="87"/>
      <c r="F59" s="55"/>
      <c r="G59" s="56">
        <f>$D59*F59</f>
        <v>0</v>
      </c>
    </row>
    <row r="60" spans="1:7" s="77" customFormat="1">
      <c r="A60" s="99" t="s">
        <v>191</v>
      </c>
      <c r="B60" s="64" t="s">
        <v>30</v>
      </c>
      <c r="C60" s="53" t="s">
        <v>22</v>
      </c>
      <c r="D60" s="54">
        <f>6.89*28</f>
        <v>192.92</v>
      </c>
      <c r="E60" s="87"/>
      <c r="F60" s="55"/>
      <c r="G60" s="56">
        <f>$D60*F60</f>
        <v>0</v>
      </c>
    </row>
    <row r="61" spans="1:7">
      <c r="A61" s="39"/>
      <c r="B61" s="57"/>
      <c r="C61" s="41"/>
      <c r="F61" s="58"/>
    </row>
    <row r="62" spans="1:7" s="77" customFormat="1" ht="68.25" customHeight="1">
      <c r="A62" s="13" t="s">
        <v>475</v>
      </c>
      <c r="B62" s="60" t="s">
        <v>354</v>
      </c>
      <c r="C62" s="53"/>
      <c r="D62" s="61"/>
      <c r="E62" s="87"/>
      <c r="F62" s="62"/>
      <c r="G62" s="56"/>
    </row>
    <row r="63" spans="1:7" s="77" customFormat="1">
      <c r="A63" s="99" t="s">
        <v>190</v>
      </c>
      <c r="B63" s="64" t="s">
        <v>33</v>
      </c>
      <c r="C63" s="53" t="s">
        <v>26</v>
      </c>
      <c r="D63" s="54">
        <f>6.89*28*0.2</f>
        <v>38.584000000000003</v>
      </c>
      <c r="E63" s="87"/>
      <c r="F63" s="55"/>
      <c r="G63" s="56">
        <f>$D63*F63</f>
        <v>0</v>
      </c>
    </row>
    <row r="64" spans="1:7" s="77" customFormat="1">
      <c r="A64" s="99" t="s">
        <v>191</v>
      </c>
      <c r="B64" s="64" t="s">
        <v>30</v>
      </c>
      <c r="C64" s="53" t="s">
        <v>22</v>
      </c>
      <c r="D64" s="54">
        <f>6.89*28</f>
        <v>192.92</v>
      </c>
      <c r="E64" s="87"/>
      <c r="F64" s="55"/>
      <c r="G64" s="56">
        <f>$D64*F64</f>
        <v>0</v>
      </c>
    </row>
    <row r="65" spans="1:7">
      <c r="A65" s="39"/>
      <c r="B65" s="57"/>
      <c r="C65" s="41"/>
      <c r="F65" s="58"/>
    </row>
    <row r="66" spans="1:7" s="77" customFormat="1" ht="61.5" customHeight="1">
      <c r="A66" s="13" t="s">
        <v>318</v>
      </c>
      <c r="B66" s="60" t="s">
        <v>356</v>
      </c>
      <c r="C66" s="53"/>
      <c r="D66" s="61"/>
      <c r="E66" s="87"/>
      <c r="F66" s="62"/>
      <c r="G66" s="56"/>
    </row>
    <row r="67" spans="1:7" s="77" customFormat="1">
      <c r="A67" s="99" t="s">
        <v>190</v>
      </c>
      <c r="B67" s="64" t="s">
        <v>33</v>
      </c>
      <c r="C67" s="53" t="s">
        <v>26</v>
      </c>
      <c r="D67" s="54">
        <f>(8.57*0.4)+(0.2*2.4)+(0.2*1.2)</f>
        <v>4.1480000000000006</v>
      </c>
      <c r="E67" s="87"/>
      <c r="F67" s="55"/>
      <c r="G67" s="56">
        <f>$D67*F67</f>
        <v>0</v>
      </c>
    </row>
    <row r="68" spans="1:7" s="77" customFormat="1">
      <c r="A68" s="99" t="s">
        <v>191</v>
      </c>
      <c r="B68" s="64" t="s">
        <v>30</v>
      </c>
      <c r="C68" s="53" t="s">
        <v>22</v>
      </c>
      <c r="D68" s="54">
        <f>28*0.4+(0.45*2.4)+0.2+(0.45*1.2)+0.2</f>
        <v>13.219999999999999</v>
      </c>
      <c r="E68" s="87"/>
      <c r="F68" s="55"/>
      <c r="G68" s="56">
        <f>$D68*F68</f>
        <v>0</v>
      </c>
    </row>
    <row r="69" spans="1:7">
      <c r="A69" s="39"/>
      <c r="B69" s="57"/>
      <c r="C69" s="41"/>
      <c r="F69" s="58"/>
    </row>
    <row r="70" spans="1:7" s="77" customFormat="1" ht="67.5" customHeight="1">
      <c r="A70" s="13" t="s">
        <v>319</v>
      </c>
      <c r="B70" s="60" t="s">
        <v>35</v>
      </c>
      <c r="C70" s="53"/>
      <c r="D70" s="61"/>
      <c r="E70" s="87"/>
      <c r="F70" s="62"/>
      <c r="G70" s="56"/>
    </row>
    <row r="71" spans="1:7" s="77" customFormat="1">
      <c r="A71" s="99" t="s">
        <v>190</v>
      </c>
      <c r="B71" s="64" t="s">
        <v>151</v>
      </c>
      <c r="C71" s="53" t="s">
        <v>26</v>
      </c>
      <c r="D71" s="54">
        <f>0.41*1.9</f>
        <v>0.77899999999999991</v>
      </c>
      <c r="E71" s="87"/>
      <c r="F71" s="55"/>
      <c r="G71" s="56">
        <f>$D71*F71</f>
        <v>0</v>
      </c>
    </row>
    <row r="72" spans="1:7" s="77" customFormat="1">
      <c r="A72" s="99" t="s">
        <v>191</v>
      </c>
      <c r="B72" s="64" t="s">
        <v>30</v>
      </c>
      <c r="C72" s="53" t="s">
        <v>22</v>
      </c>
      <c r="D72" s="54">
        <f>0.42+(1.53*1.9)+(1.19*1.9)</f>
        <v>5.5879999999999992</v>
      </c>
      <c r="E72" s="87"/>
      <c r="F72" s="55"/>
      <c r="G72" s="56">
        <f>$D72*F72</f>
        <v>0</v>
      </c>
    </row>
    <row r="73" spans="1:7">
      <c r="A73" s="39"/>
      <c r="B73" s="57"/>
      <c r="C73" s="41"/>
      <c r="F73" s="58"/>
    </row>
    <row r="74" spans="1:7" s="77" customFormat="1" ht="94.5" customHeight="1">
      <c r="A74" s="13" t="s">
        <v>320</v>
      </c>
      <c r="B74" s="60" t="s">
        <v>366</v>
      </c>
      <c r="C74" s="53"/>
      <c r="D74" s="61"/>
      <c r="E74" s="87"/>
      <c r="F74" s="62"/>
      <c r="G74" s="56"/>
    </row>
    <row r="75" spans="1:7" s="77" customFormat="1" ht="16.5" customHeight="1">
      <c r="A75" s="99" t="s">
        <v>190</v>
      </c>
      <c r="B75" s="64" t="s">
        <v>365</v>
      </c>
      <c r="C75" s="53" t="s">
        <v>26</v>
      </c>
      <c r="D75" s="54">
        <f>(470.99+9.88+15.67+52.23+48.36+21.04+95)*0.115</f>
        <v>82.01455</v>
      </c>
      <c r="E75" s="87"/>
      <c r="F75" s="55"/>
      <c r="G75" s="56">
        <f>$D75*F75</f>
        <v>0</v>
      </c>
    </row>
    <row r="76" spans="1:7" s="186" customFormat="1">
      <c r="A76" s="233"/>
      <c r="B76" s="225"/>
      <c r="C76" s="31"/>
      <c r="D76" s="32"/>
      <c r="E76" s="90"/>
      <c r="F76" s="30"/>
      <c r="G76" s="33"/>
    </row>
    <row r="77" spans="1:7" s="186" customFormat="1">
      <c r="A77" s="234"/>
      <c r="B77" s="35" t="s">
        <v>241</v>
      </c>
      <c r="C77" s="36"/>
      <c r="D77" s="36"/>
      <c r="E77" s="37"/>
      <c r="F77" s="36"/>
      <c r="G77" s="38"/>
    </row>
    <row r="78" spans="1:7" s="186" customFormat="1">
      <c r="A78" s="39"/>
      <c r="B78" s="57"/>
      <c r="C78" s="41"/>
      <c r="D78" s="15"/>
      <c r="E78" s="11"/>
      <c r="F78" s="58"/>
      <c r="G78" s="15"/>
    </row>
    <row r="79" spans="1:7" s="77" customFormat="1" ht="81.75" customHeight="1">
      <c r="A79" s="13"/>
      <c r="B79" s="60" t="s">
        <v>300</v>
      </c>
      <c r="C79" s="182"/>
      <c r="D79" s="61"/>
      <c r="E79" s="87"/>
      <c r="F79" s="62"/>
      <c r="G79" s="56"/>
    </row>
    <row r="80" spans="1:7" s="77" customFormat="1" ht="38.25">
      <c r="A80" s="63" t="s">
        <v>505</v>
      </c>
      <c r="B80" s="64" t="s">
        <v>301</v>
      </c>
      <c r="D80" s="198"/>
      <c r="E80" s="87"/>
      <c r="F80" s="62"/>
      <c r="G80" s="56">
        <f>$D80*F80</f>
        <v>0</v>
      </c>
    </row>
    <row r="81" spans="1:7" s="77" customFormat="1">
      <c r="A81" s="99"/>
      <c r="B81" s="64" t="s">
        <v>304</v>
      </c>
      <c r="C81" s="53" t="s">
        <v>242</v>
      </c>
      <c r="D81" s="54">
        <f>850*95*0.4</f>
        <v>32300</v>
      </c>
      <c r="E81" s="87"/>
      <c r="F81" s="55"/>
      <c r="G81" s="56">
        <f>$D81*F81</f>
        <v>0</v>
      </c>
    </row>
    <row r="82" spans="1:7" s="77" customFormat="1">
      <c r="A82" s="99"/>
      <c r="B82" s="64"/>
      <c r="C82" s="53"/>
      <c r="D82" s="198"/>
      <c r="E82" s="87"/>
      <c r="F82" s="62"/>
      <c r="G82" s="56"/>
    </row>
    <row r="83" spans="1:7" s="77" customFormat="1" ht="38.25">
      <c r="A83" s="63" t="s">
        <v>506</v>
      </c>
      <c r="B83" s="64" t="s">
        <v>302</v>
      </c>
      <c r="C83" s="53"/>
      <c r="D83" s="198"/>
      <c r="E83" s="87"/>
      <c r="F83" s="62"/>
      <c r="G83" s="56"/>
    </row>
    <row r="84" spans="1:7" s="77" customFormat="1">
      <c r="A84" s="99"/>
      <c r="B84" s="64" t="s">
        <v>303</v>
      </c>
      <c r="C84" s="53"/>
      <c r="D84" s="198"/>
      <c r="E84" s="87"/>
      <c r="F84" s="62"/>
      <c r="G84" s="56"/>
    </row>
    <row r="85" spans="1:7" s="77" customFormat="1" ht="15" customHeight="1">
      <c r="A85" s="99"/>
      <c r="B85" s="64" t="s">
        <v>304</v>
      </c>
      <c r="C85" s="53" t="s">
        <v>242</v>
      </c>
      <c r="D85" s="54">
        <f>850*95*0.6</f>
        <v>48450</v>
      </c>
      <c r="E85" s="87"/>
      <c r="F85" s="55"/>
      <c r="G85" s="56">
        <f>$D85*F85</f>
        <v>0</v>
      </c>
    </row>
    <row r="86" spans="1:7" s="106" customFormat="1">
      <c r="A86" s="100"/>
      <c r="B86" s="101"/>
      <c r="C86" s="102"/>
      <c r="D86" s="103"/>
      <c r="E86" s="104"/>
      <c r="F86" s="105"/>
      <c r="G86" s="103"/>
    </row>
    <row r="87" spans="1:7" s="77" customFormat="1">
      <c r="A87" s="84"/>
      <c r="B87" s="85"/>
      <c r="C87" s="81"/>
      <c r="D87" s="82"/>
      <c r="E87" s="76"/>
      <c r="F87" s="83"/>
      <c r="G87" s="80"/>
    </row>
    <row r="88" spans="1:7" s="92" customFormat="1">
      <c r="A88" s="68"/>
      <c r="B88" s="69" t="s">
        <v>31</v>
      </c>
      <c r="C88" s="70"/>
      <c r="D88" s="89"/>
      <c r="E88" s="90"/>
      <c r="F88" s="71"/>
      <c r="G88" s="91"/>
    </row>
    <row r="89" spans="1:7" s="92" customFormat="1">
      <c r="A89" s="68"/>
      <c r="B89" s="69" t="s">
        <v>15</v>
      </c>
      <c r="C89" s="70"/>
      <c r="D89" s="89"/>
      <c r="E89" s="90"/>
      <c r="F89" s="71"/>
      <c r="G89" s="276">
        <f>SUM(G19:G88)</f>
        <v>0</v>
      </c>
    </row>
    <row r="90" spans="1:7" s="92" customFormat="1">
      <c r="A90" s="13"/>
      <c r="B90" s="94"/>
      <c r="C90" s="95"/>
      <c r="D90" s="96"/>
      <c r="E90" s="87"/>
      <c r="F90" s="97"/>
      <c r="G90" s="96"/>
    </row>
    <row r="91" spans="1:7">
      <c r="B91" s="107"/>
    </row>
    <row r="94" spans="1:7">
      <c r="B94" s="107"/>
    </row>
    <row r="96" spans="1:7">
      <c r="B96" s="107"/>
    </row>
  </sheetData>
  <mergeCells count="8">
    <mergeCell ref="F4:G4"/>
    <mergeCell ref="A14:F14"/>
    <mergeCell ref="A12:F12"/>
    <mergeCell ref="A8:G8"/>
    <mergeCell ref="A9:F9"/>
    <mergeCell ref="A10:F10"/>
    <mergeCell ref="A11:F11"/>
    <mergeCell ref="A13:F13"/>
  </mergeCells>
  <pageMargins left="0.59055118110236227" right="0.19685039370078741" top="0.59055118110236227" bottom="0.59055118110236227" header="0.19685039370078741" footer="0.19685039370078741"/>
  <pageSetup paperSize="9" scale="91" fitToHeight="0" orientation="portrait" r:id="rId1"/>
  <rowBreaks count="1" manualBreakCount="1">
    <brk id="76" max="6" man="1"/>
  </rowBreaks>
  <ignoredErrors>
    <ignoredError sqref="D27:D28 D59:D60 D55:D56 D47:D48 D63:D64 D85 D81 D31:D32 D39:D40 D43:D44 D71:D7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749992370372631"/>
    <pageSetUpPr fitToPage="1"/>
  </sheetPr>
  <dimension ref="A1:L44"/>
  <sheetViews>
    <sheetView showZeros="0" view="pageBreakPreview" topLeftCell="A47" zoomScaleNormal="100" zoomScaleSheetLayoutView="100" workbookViewId="0">
      <selection activeCell="F17" sqref="F17"/>
    </sheetView>
  </sheetViews>
  <sheetFormatPr defaultRowHeight="15"/>
  <cols>
    <col min="1" max="1" width="5.7109375" style="59" customWidth="1"/>
    <col min="2" max="2" width="45.7109375" style="73" customWidth="1"/>
    <col min="3" max="3" width="6.7109375" style="74" customWidth="1"/>
    <col min="4" max="4" width="10.7109375" style="15" customWidth="1"/>
    <col min="5" max="5" width="2.7109375" style="11" customWidth="1"/>
    <col min="6" max="6" width="15.7109375" style="75" customWidth="1"/>
    <col min="7" max="7" width="15.7109375" style="15" customWidth="1"/>
  </cols>
  <sheetData>
    <row r="1" spans="1:8" s="4" customFormat="1" ht="18">
      <c r="A1" s="273"/>
      <c r="B1" s="274"/>
      <c r="C1" s="274"/>
      <c r="D1" s="274"/>
      <c r="E1" s="274"/>
      <c r="F1" s="274"/>
      <c r="G1" s="275"/>
    </row>
    <row r="2" spans="1:8" s="8" customFormat="1" ht="18">
      <c r="A2" s="5"/>
      <c r="B2" s="6" t="s">
        <v>0</v>
      </c>
      <c r="C2" s="6"/>
      <c r="D2" s="6"/>
      <c r="E2" s="6"/>
      <c r="F2" s="6"/>
      <c r="G2" s="7"/>
    </row>
    <row r="3" spans="1:8" s="4" customFormat="1" ht="18">
      <c r="A3" s="1"/>
      <c r="B3" s="2"/>
      <c r="C3" s="2"/>
      <c r="D3" s="2"/>
      <c r="E3" s="2"/>
      <c r="F3" s="2"/>
      <c r="G3" s="3"/>
    </row>
    <row r="4" spans="1:8" s="12" customFormat="1" ht="60" customHeight="1">
      <c r="A4" s="222"/>
      <c r="B4" s="9" t="s">
        <v>1</v>
      </c>
      <c r="C4" s="10"/>
      <c r="D4" s="223"/>
      <c r="E4" s="11"/>
      <c r="F4" s="969" t="s">
        <v>367</v>
      </c>
      <c r="G4" s="970"/>
    </row>
    <row r="5" spans="1:8" s="12" customFormat="1">
      <c r="A5" s="13"/>
      <c r="B5" s="14"/>
      <c r="C5" s="14"/>
      <c r="D5" s="15"/>
      <c r="E5" s="11"/>
      <c r="G5" s="15"/>
    </row>
    <row r="6" spans="1:8" s="12" customFormat="1">
      <c r="A6" s="16" t="s">
        <v>2</v>
      </c>
      <c r="B6" s="17" t="s">
        <v>3</v>
      </c>
      <c r="C6" s="18" t="s">
        <v>4</v>
      </c>
      <c r="D6" s="19" t="s">
        <v>6</v>
      </c>
      <c r="E6" s="20"/>
      <c r="F6" s="19" t="s">
        <v>5</v>
      </c>
      <c r="G6" s="19" t="s">
        <v>7</v>
      </c>
    </row>
    <row r="7" spans="1:8">
      <c r="A7" s="22"/>
      <c r="B7" s="23"/>
      <c r="C7" s="24"/>
      <c r="D7" s="25"/>
      <c r="E7" s="26"/>
      <c r="F7" s="26"/>
      <c r="G7" s="27"/>
    </row>
    <row r="8" spans="1:8" s="29" customFormat="1">
      <c r="A8" s="971" t="s">
        <v>8</v>
      </c>
      <c r="B8" s="972"/>
      <c r="C8" s="972"/>
      <c r="D8" s="972"/>
      <c r="E8" s="972"/>
      <c r="F8" s="972"/>
      <c r="G8" s="973"/>
      <c r="H8" s="28"/>
    </row>
    <row r="9" spans="1:8">
      <c r="A9" s="965"/>
      <c r="B9" s="966"/>
      <c r="C9" s="966"/>
      <c r="D9" s="966"/>
      <c r="E9" s="966"/>
      <c r="F9" s="966"/>
      <c r="G9" s="27"/>
    </row>
    <row r="10" spans="1:8" ht="67.5" customHeight="1">
      <c r="A10" s="967" t="s">
        <v>159</v>
      </c>
      <c r="B10" s="976"/>
      <c r="C10" s="976"/>
      <c r="D10" s="976"/>
      <c r="E10" s="976"/>
      <c r="F10" s="976"/>
      <c r="G10" s="27"/>
    </row>
    <row r="11" spans="1:8" ht="64.5" customHeight="1">
      <c r="A11" s="967" t="s">
        <v>39</v>
      </c>
      <c r="B11" s="976"/>
      <c r="C11" s="976"/>
      <c r="D11" s="976"/>
      <c r="E11" s="976"/>
      <c r="F11" s="976"/>
      <c r="G11" s="27"/>
    </row>
    <row r="12" spans="1:8" ht="80.25" customHeight="1">
      <c r="A12" s="967" t="s">
        <v>160</v>
      </c>
      <c r="B12" s="976"/>
      <c r="C12" s="976"/>
      <c r="D12" s="976"/>
      <c r="E12" s="976"/>
      <c r="F12" s="976"/>
      <c r="G12" s="27"/>
    </row>
    <row r="13" spans="1:8">
      <c r="A13" s="224"/>
      <c r="B13" s="225"/>
      <c r="C13" s="31"/>
      <c r="D13" s="32"/>
      <c r="E13" s="30"/>
      <c r="F13" s="30"/>
      <c r="G13" s="33"/>
    </row>
    <row r="14" spans="1:8">
      <c r="A14" s="34"/>
      <c r="B14" s="35"/>
      <c r="C14" s="36"/>
      <c r="D14" s="36"/>
      <c r="E14" s="37"/>
      <c r="F14" s="36"/>
      <c r="G14" s="38"/>
    </row>
    <row r="15" spans="1:8">
      <c r="A15" s="39"/>
      <c r="B15" s="40"/>
      <c r="C15" s="41"/>
      <c r="D15" s="42"/>
      <c r="F15" s="43"/>
      <c r="G15" s="42"/>
    </row>
    <row r="16" spans="1:8">
      <c r="A16" s="44"/>
      <c r="B16" s="45"/>
      <c r="C16" s="46"/>
      <c r="D16" s="47"/>
      <c r="E16" s="48"/>
      <c r="F16" s="49"/>
      <c r="G16" s="50"/>
    </row>
    <row r="17" spans="1:12" ht="51">
      <c r="A17" s="13" t="s">
        <v>9</v>
      </c>
      <c r="B17" s="60" t="s">
        <v>392</v>
      </c>
      <c r="C17" s="53"/>
      <c r="D17" s="61"/>
      <c r="F17" s="62"/>
      <c r="G17" s="56"/>
    </row>
    <row r="18" spans="1:12">
      <c r="A18" s="108"/>
      <c r="B18" s="52" t="s">
        <v>43</v>
      </c>
      <c r="C18" s="53" t="s">
        <v>10</v>
      </c>
      <c r="D18" s="54">
        <f>2.015*5+(0.5+0.35)*6</f>
        <v>15.175000000000001</v>
      </c>
      <c r="F18" s="55"/>
      <c r="G18" s="56">
        <f>$D18*F18</f>
        <v>0</v>
      </c>
      <c r="H18" s="88"/>
      <c r="I18" s="88"/>
      <c r="J18" s="88"/>
      <c r="K18" s="88"/>
      <c r="L18" s="88"/>
    </row>
    <row r="19" spans="1:12">
      <c r="A19" s="13"/>
      <c r="B19" s="60"/>
      <c r="C19" s="53"/>
      <c r="D19" s="61"/>
      <c r="F19" s="62"/>
      <c r="G19" s="56"/>
    </row>
    <row r="20" spans="1:12" ht="51">
      <c r="A20" s="13" t="s">
        <v>11</v>
      </c>
      <c r="B20" s="60" t="s">
        <v>393</v>
      </c>
      <c r="C20" s="53"/>
      <c r="D20" s="61"/>
      <c r="F20" s="62"/>
      <c r="G20" s="56"/>
    </row>
    <row r="21" spans="1:12">
      <c r="A21" s="108"/>
      <c r="B21" s="52" t="s">
        <v>13</v>
      </c>
      <c r="C21" s="53" t="s">
        <v>10</v>
      </c>
      <c r="D21" s="54">
        <f>1.14*3</f>
        <v>3.42</v>
      </c>
      <c r="F21" s="55"/>
      <c r="G21" s="56">
        <f>$D21*F21</f>
        <v>0</v>
      </c>
      <c r="H21" s="88"/>
      <c r="I21" s="88"/>
      <c r="J21" s="88"/>
      <c r="K21" s="88"/>
      <c r="L21" s="88"/>
    </row>
    <row r="22" spans="1:12">
      <c r="A22" s="109"/>
      <c r="B22" s="57"/>
      <c r="C22" s="41"/>
      <c r="F22" s="58"/>
    </row>
    <row r="23" spans="1:12" s="77" customFormat="1" ht="76.5">
      <c r="A23" s="13" t="s">
        <v>12</v>
      </c>
      <c r="B23" s="60" t="s">
        <v>357</v>
      </c>
      <c r="C23" s="53"/>
      <c r="D23" s="61"/>
      <c r="E23" s="87"/>
      <c r="F23" s="62"/>
      <c r="G23" s="56"/>
    </row>
    <row r="24" spans="1:12" s="77" customFormat="1">
      <c r="A24" s="99" t="s">
        <v>190</v>
      </c>
      <c r="B24" s="64" t="s">
        <v>40</v>
      </c>
      <c r="C24" s="53" t="s">
        <v>10</v>
      </c>
      <c r="D24" s="54">
        <f>1337</f>
        <v>1337</v>
      </c>
      <c r="E24" s="87"/>
      <c r="F24" s="55"/>
      <c r="G24" s="56">
        <f>$D24*F24</f>
        <v>0</v>
      </c>
    </row>
    <row r="25" spans="1:12" s="77" customFormat="1">
      <c r="A25" s="99" t="s">
        <v>191</v>
      </c>
      <c r="B25" s="64" t="s">
        <v>41</v>
      </c>
      <c r="C25" s="53" t="s">
        <v>10</v>
      </c>
      <c r="D25" s="54">
        <v>80</v>
      </c>
      <c r="E25" s="87"/>
      <c r="F25" s="55"/>
      <c r="G25" s="56">
        <f>$D25*F25</f>
        <v>0</v>
      </c>
    </row>
    <row r="26" spans="1:12">
      <c r="A26" s="13"/>
      <c r="B26" s="60"/>
      <c r="C26" s="53"/>
      <c r="D26" s="61"/>
      <c r="F26" s="62"/>
      <c r="G26" s="56"/>
    </row>
    <row r="27" spans="1:12" ht="130.5">
      <c r="A27" s="13" t="s">
        <v>92</v>
      </c>
      <c r="B27" s="60" t="s">
        <v>258</v>
      </c>
      <c r="C27" s="53"/>
      <c r="D27" s="61"/>
      <c r="F27" s="62"/>
      <c r="G27" s="56"/>
    </row>
    <row r="28" spans="1:12">
      <c r="A28" s="108" t="s">
        <v>190</v>
      </c>
      <c r="B28" s="52" t="s">
        <v>360</v>
      </c>
      <c r="C28" s="53" t="s">
        <v>10</v>
      </c>
      <c r="D28" s="54">
        <f>(4.2+4.89+3.56)+(3.54+4.72)+(18.71+6.1)</f>
        <v>45.72</v>
      </c>
      <c r="F28" s="55"/>
      <c r="G28" s="56">
        <f>$D28*F28</f>
        <v>0</v>
      </c>
      <c r="H28" s="88"/>
      <c r="I28" s="88"/>
      <c r="J28" s="88"/>
      <c r="K28" s="88"/>
      <c r="L28" s="88"/>
    </row>
    <row r="29" spans="1:12" s="186" customFormat="1">
      <c r="A29" s="108" t="s">
        <v>191</v>
      </c>
      <c r="B29" s="52" t="s">
        <v>361</v>
      </c>
      <c r="C29" s="53" t="s">
        <v>10</v>
      </c>
      <c r="D29" s="54">
        <f>(21.31+14.7)+(16.2+12.47+12.47)</f>
        <v>77.150000000000006</v>
      </c>
      <c r="E29" s="11"/>
      <c r="F29" s="55"/>
      <c r="G29" s="56">
        <f>F29*D29</f>
        <v>0</v>
      </c>
      <c r="H29" s="88"/>
      <c r="I29" s="88"/>
      <c r="J29" s="88"/>
      <c r="K29" s="88"/>
      <c r="L29" s="88"/>
    </row>
    <row r="30" spans="1:12">
      <c r="A30" s="108" t="s">
        <v>192</v>
      </c>
      <c r="B30" s="52" t="s">
        <v>364</v>
      </c>
      <c r="C30" s="53" t="s">
        <v>10</v>
      </c>
      <c r="D30" s="54">
        <f>11.28+7.7+101.92+6.6+33.6+12.4+9.4+66.41+13.61+9.4+66.41+12.4+14.98+70.95+8.13+1.98+8.5+173.68+5.94+7.26</f>
        <v>642.55000000000007</v>
      </c>
      <c r="F30" s="55"/>
      <c r="G30" s="56">
        <f>$D30*F30</f>
        <v>0</v>
      </c>
      <c r="H30" s="88"/>
      <c r="I30" s="88"/>
      <c r="J30" s="88"/>
      <c r="K30" s="88"/>
      <c r="L30" s="88"/>
    </row>
    <row r="31" spans="1:12" ht="15" customHeight="1">
      <c r="A31" s="13"/>
      <c r="B31" s="60"/>
      <c r="C31" s="53"/>
      <c r="D31" s="61"/>
      <c r="F31" s="62"/>
      <c r="G31" s="56"/>
    </row>
    <row r="32" spans="1:12" ht="117.75">
      <c r="A32" s="13" t="s">
        <v>93</v>
      </c>
      <c r="B32" s="60" t="s">
        <v>369</v>
      </c>
      <c r="C32" s="53"/>
      <c r="D32" s="61"/>
      <c r="F32" s="62"/>
      <c r="G32" s="56"/>
    </row>
    <row r="33" spans="1:12">
      <c r="A33" s="108" t="s">
        <v>190</v>
      </c>
      <c r="B33" s="52" t="s">
        <v>96</v>
      </c>
      <c r="C33" s="53" t="s">
        <v>10</v>
      </c>
      <c r="D33" s="54">
        <f>30.41+25.97+25.97</f>
        <v>82.35</v>
      </c>
      <c r="F33" s="55"/>
      <c r="G33" s="56">
        <f>$D33*F33</f>
        <v>0</v>
      </c>
      <c r="H33" s="88" t="s">
        <v>464</v>
      </c>
      <c r="I33" s="88"/>
      <c r="J33" s="88"/>
      <c r="K33" s="88"/>
      <c r="L33" s="88"/>
    </row>
    <row r="34" spans="1:12" s="186" customFormat="1">
      <c r="A34" s="108" t="s">
        <v>191</v>
      </c>
      <c r="B34" s="52" t="s">
        <v>368</v>
      </c>
      <c r="C34" s="53" t="s">
        <v>10</v>
      </c>
      <c r="D34" s="54">
        <f>26.4+5.94</f>
        <v>32.339999999999996</v>
      </c>
      <c r="E34" s="11"/>
      <c r="F34" s="55"/>
      <c r="G34" s="56">
        <f>F34*D34</f>
        <v>0</v>
      </c>
      <c r="H34" s="88"/>
      <c r="I34" s="88"/>
      <c r="J34" s="88"/>
      <c r="K34" s="88"/>
      <c r="L34" s="88"/>
    </row>
    <row r="35" spans="1:12">
      <c r="A35" s="13"/>
      <c r="B35" s="60"/>
      <c r="C35" s="53"/>
      <c r="D35" s="61"/>
      <c r="F35" s="62"/>
      <c r="G35" s="56"/>
    </row>
    <row r="36" spans="1:12" ht="141" customHeight="1">
      <c r="A36" s="13" t="s">
        <v>94</v>
      </c>
      <c r="B36" s="60" t="s">
        <v>394</v>
      </c>
      <c r="C36" s="53"/>
      <c r="D36" s="61"/>
      <c r="F36" s="62"/>
      <c r="G36" s="56"/>
    </row>
    <row r="37" spans="1:12">
      <c r="A37" s="108"/>
      <c r="B37" s="52" t="s">
        <v>97</v>
      </c>
      <c r="C37" s="53" t="s">
        <v>10</v>
      </c>
      <c r="D37" s="54">
        <f>95</f>
        <v>95</v>
      </c>
      <c r="F37" s="55"/>
      <c r="G37" s="56">
        <f>$D37*F37</f>
        <v>0</v>
      </c>
      <c r="H37" s="88"/>
      <c r="I37" s="88"/>
      <c r="J37" s="88"/>
      <c r="K37" s="88"/>
      <c r="L37" s="88"/>
    </row>
    <row r="38" spans="1:12" s="186" customFormat="1">
      <c r="A38" s="13"/>
      <c r="B38" s="60"/>
      <c r="C38" s="53"/>
      <c r="D38" s="61"/>
      <c r="E38" s="11"/>
      <c r="F38" s="62"/>
      <c r="G38" s="56"/>
    </row>
    <row r="39" spans="1:12" s="186" customFormat="1" ht="126" customHeight="1">
      <c r="A39" s="13" t="s">
        <v>95</v>
      </c>
      <c r="B39" s="60" t="s">
        <v>502</v>
      </c>
      <c r="C39" s="53"/>
      <c r="D39" s="61"/>
      <c r="E39" s="11"/>
      <c r="F39" s="62"/>
      <c r="G39" s="56"/>
    </row>
    <row r="40" spans="1:12" s="186" customFormat="1" ht="15.75" customHeight="1">
      <c r="A40" s="108"/>
      <c r="B40" s="52" t="s">
        <v>358</v>
      </c>
      <c r="C40" s="53" t="s">
        <v>10</v>
      </c>
      <c r="D40" s="54">
        <f>5.94+26.4</f>
        <v>32.339999999999996</v>
      </c>
      <c r="E40" s="11"/>
      <c r="F40" s="55"/>
      <c r="G40" s="56">
        <f>$D40*F40</f>
        <v>0</v>
      </c>
      <c r="H40" s="88"/>
      <c r="I40" s="88"/>
      <c r="J40" s="88"/>
      <c r="K40" s="88"/>
      <c r="L40" s="88"/>
    </row>
    <row r="41" spans="1:12" s="77" customFormat="1">
      <c r="A41" s="84"/>
      <c r="B41" s="85"/>
      <c r="C41" s="81"/>
      <c r="D41" s="82"/>
      <c r="E41" s="76"/>
      <c r="F41" s="83"/>
      <c r="G41" s="80"/>
    </row>
    <row r="42" spans="1:12" s="92" customFormat="1">
      <c r="A42" s="68"/>
      <c r="B42" s="69" t="s">
        <v>1</v>
      </c>
      <c r="C42" s="70"/>
      <c r="D42" s="89"/>
      <c r="E42" s="90"/>
      <c r="F42" s="71"/>
      <c r="G42" s="91"/>
    </row>
    <row r="43" spans="1:12" s="92" customFormat="1">
      <c r="A43" s="66"/>
      <c r="B43" s="67" t="s">
        <v>15</v>
      </c>
      <c r="C43" s="206"/>
      <c r="D43" s="93"/>
      <c r="E43" s="87"/>
      <c r="F43" s="65"/>
      <c r="G43" s="72">
        <f>SUM(G17:G42)</f>
        <v>0</v>
      </c>
    </row>
    <row r="44" spans="1:12" s="92" customFormat="1">
      <c r="A44" s="277"/>
      <c r="B44" s="278"/>
      <c r="C44" s="279"/>
      <c r="D44" s="91"/>
      <c r="E44" s="90"/>
      <c r="F44" s="280"/>
      <c r="G44" s="91"/>
    </row>
  </sheetData>
  <mergeCells count="6">
    <mergeCell ref="A12:F12"/>
    <mergeCell ref="F4:G4"/>
    <mergeCell ref="A8:G8"/>
    <mergeCell ref="A9:F9"/>
    <mergeCell ref="A10:F10"/>
    <mergeCell ref="A11:F11"/>
  </mergeCells>
  <pageMargins left="0.59055118110236227" right="0.19685039370078741" top="0.59055118110236227" bottom="0.59055118110236227" header="0.19685039370078741" footer="0.19685039370078741"/>
  <pageSetup paperSize="9" scale="91" fitToHeight="0" orientation="portrait" r:id="rId1"/>
  <rowBreaks count="1" manualBreakCount="1">
    <brk id="26" max="6" man="1"/>
  </rowBreaks>
  <ignoredErrors>
    <ignoredError sqref="D37"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59999389629810485"/>
    <pageSetUpPr fitToPage="1"/>
  </sheetPr>
  <dimension ref="A1:L36"/>
  <sheetViews>
    <sheetView showZeros="0" view="pageBreakPreview" topLeftCell="A25" zoomScaleNormal="100" zoomScaleSheetLayoutView="100" workbookViewId="0">
      <selection activeCell="F20" sqref="F20:F31"/>
    </sheetView>
  </sheetViews>
  <sheetFormatPr defaultRowHeight="15"/>
  <cols>
    <col min="1" max="1" width="5.7109375" style="59" customWidth="1"/>
    <col min="2" max="2" width="45.7109375" style="73" customWidth="1"/>
    <col min="3" max="3" width="6.7109375" style="74" customWidth="1"/>
    <col min="4" max="4" width="10.7109375" style="15" customWidth="1"/>
    <col min="5" max="5" width="2.7109375" style="11" customWidth="1"/>
    <col min="6" max="6" width="15.7109375" style="75" customWidth="1"/>
    <col min="7" max="7" width="15.7109375" style="15" customWidth="1"/>
  </cols>
  <sheetData>
    <row r="1" spans="1:8" s="4" customFormat="1" ht="18">
      <c r="A1" s="273"/>
      <c r="B1" s="274"/>
      <c r="C1" s="274"/>
      <c r="D1" s="274"/>
      <c r="E1" s="274"/>
      <c r="F1" s="274"/>
      <c r="G1" s="275"/>
    </row>
    <row r="2" spans="1:8" s="8" customFormat="1" ht="18">
      <c r="A2" s="5"/>
      <c r="B2" s="6" t="s">
        <v>0</v>
      </c>
      <c r="C2" s="6"/>
      <c r="D2" s="6"/>
      <c r="E2" s="6"/>
      <c r="F2" s="6"/>
      <c r="G2" s="7"/>
    </row>
    <row r="3" spans="1:8" s="4" customFormat="1" ht="18">
      <c r="A3" s="1"/>
      <c r="B3" s="2"/>
      <c r="C3" s="2"/>
      <c r="D3" s="2"/>
      <c r="E3" s="2"/>
      <c r="F3" s="2"/>
      <c r="G3" s="3"/>
    </row>
    <row r="4" spans="1:8" s="12" customFormat="1" ht="60" customHeight="1">
      <c r="A4" s="222"/>
      <c r="B4" s="9" t="s">
        <v>243</v>
      </c>
      <c r="C4" s="10"/>
      <c r="D4" s="223"/>
      <c r="E4" s="11"/>
      <c r="F4" s="969" t="s">
        <v>367</v>
      </c>
      <c r="G4" s="970"/>
    </row>
    <row r="5" spans="1:8" s="12" customFormat="1">
      <c r="A5" s="13"/>
      <c r="B5" s="14"/>
      <c r="C5" s="14"/>
      <c r="D5" s="15"/>
      <c r="E5" s="11"/>
      <c r="G5" s="15"/>
    </row>
    <row r="6" spans="1:8" s="12" customFormat="1">
      <c r="A6" s="16" t="s">
        <v>2</v>
      </c>
      <c r="B6" s="17" t="s">
        <v>3</v>
      </c>
      <c r="C6" s="18" t="s">
        <v>4</v>
      </c>
      <c r="D6" s="19" t="s">
        <v>6</v>
      </c>
      <c r="E6" s="20"/>
      <c r="F6" s="19" t="s">
        <v>5</v>
      </c>
      <c r="G6" s="19" t="s">
        <v>7</v>
      </c>
    </row>
    <row r="7" spans="1:8">
      <c r="A7" s="22"/>
      <c r="B7" s="23"/>
      <c r="C7" s="24"/>
      <c r="D7" s="25"/>
      <c r="E7" s="26"/>
      <c r="F7" s="26"/>
      <c r="G7" s="27"/>
    </row>
    <row r="8" spans="1:8" s="29" customFormat="1">
      <c r="A8" s="971" t="s">
        <v>8</v>
      </c>
      <c r="B8" s="972"/>
      <c r="C8" s="972"/>
      <c r="D8" s="972"/>
      <c r="E8" s="972"/>
      <c r="F8" s="972"/>
      <c r="G8" s="973"/>
      <c r="H8" s="28"/>
    </row>
    <row r="9" spans="1:8">
      <c r="A9" s="965"/>
      <c r="B9" s="966"/>
      <c r="C9" s="966"/>
      <c r="D9" s="966"/>
      <c r="E9" s="966"/>
      <c r="F9" s="966"/>
      <c r="G9" s="27"/>
    </row>
    <row r="10" spans="1:8" ht="141.75" customHeight="1">
      <c r="A10" s="967" t="s">
        <v>321</v>
      </c>
      <c r="B10" s="976"/>
      <c r="C10" s="976"/>
      <c r="D10" s="976"/>
      <c r="E10" s="976"/>
      <c r="F10" s="976"/>
      <c r="G10" s="27"/>
    </row>
    <row r="11" spans="1:8" ht="39" customHeight="1">
      <c r="A11" s="977" t="s">
        <v>48</v>
      </c>
      <c r="B11" s="978"/>
      <c r="C11" s="978"/>
      <c r="D11" s="978"/>
      <c r="E11" s="978"/>
      <c r="F11" s="978"/>
      <c r="G11" s="27"/>
    </row>
    <row r="12" spans="1:8" ht="18.75" customHeight="1">
      <c r="A12" s="979"/>
      <c r="B12" s="966"/>
      <c r="C12" s="966"/>
      <c r="D12" s="966"/>
      <c r="E12" s="966"/>
      <c r="F12" s="966"/>
      <c r="G12" s="27"/>
    </row>
    <row r="13" spans="1:8">
      <c r="A13" s="965"/>
      <c r="B13" s="966"/>
      <c r="C13" s="966"/>
      <c r="D13" s="966"/>
      <c r="E13" s="966"/>
      <c r="F13" s="966"/>
      <c r="G13" s="27"/>
    </row>
    <row r="14" spans="1:8">
      <c r="A14" s="224"/>
      <c r="B14" s="225"/>
      <c r="C14" s="31"/>
      <c r="D14" s="32"/>
      <c r="E14" s="30"/>
      <c r="F14" s="30"/>
      <c r="G14" s="33"/>
    </row>
    <row r="15" spans="1:8">
      <c r="A15" s="224"/>
      <c r="B15" s="225"/>
      <c r="C15" s="31"/>
      <c r="D15" s="32"/>
      <c r="E15" s="30"/>
      <c r="F15" s="30"/>
      <c r="G15" s="33"/>
    </row>
    <row r="16" spans="1:8">
      <c r="A16" s="34"/>
      <c r="B16" s="35"/>
      <c r="C16" s="36"/>
      <c r="D16" s="36"/>
      <c r="E16" s="37"/>
      <c r="F16" s="36"/>
      <c r="G16" s="38"/>
    </row>
    <row r="17" spans="1:12">
      <c r="A17" s="39"/>
      <c r="B17" s="40"/>
      <c r="C17" s="41"/>
      <c r="D17" s="42"/>
      <c r="F17" s="43"/>
      <c r="G17" s="42"/>
    </row>
    <row r="18" spans="1:12">
      <c r="A18" s="44"/>
      <c r="B18" s="45"/>
      <c r="C18" s="46"/>
      <c r="D18" s="47"/>
      <c r="E18" s="48"/>
      <c r="F18" s="49"/>
      <c r="G18" s="50"/>
    </row>
    <row r="19" spans="1:12" ht="159" customHeight="1">
      <c r="A19" s="13" t="s">
        <v>244</v>
      </c>
      <c r="B19" s="60" t="s">
        <v>362</v>
      </c>
      <c r="C19" s="53"/>
      <c r="D19" s="61"/>
      <c r="F19" s="62"/>
      <c r="G19" s="56"/>
    </row>
    <row r="20" spans="1:12">
      <c r="A20" s="108" t="s">
        <v>190</v>
      </c>
      <c r="B20" s="52" t="s">
        <v>363</v>
      </c>
      <c r="C20" s="53" t="s">
        <v>10</v>
      </c>
      <c r="D20" s="54">
        <f>765.42</f>
        <v>765.42</v>
      </c>
      <c r="F20" s="55"/>
      <c r="G20" s="56">
        <f>$D20*F20</f>
        <v>0</v>
      </c>
      <c r="H20" s="88"/>
      <c r="I20" s="88"/>
      <c r="J20" s="88"/>
      <c r="K20" s="88"/>
      <c r="L20" s="88"/>
    </row>
    <row r="21" spans="1:12">
      <c r="A21" s="109"/>
      <c r="B21" s="57"/>
      <c r="C21" s="41"/>
      <c r="F21" s="58"/>
    </row>
    <row r="22" spans="1:12" s="77" customFormat="1" ht="127.5">
      <c r="A22" s="13" t="s">
        <v>508</v>
      </c>
      <c r="B22" s="60" t="s">
        <v>370</v>
      </c>
      <c r="C22" s="53"/>
      <c r="D22" s="61"/>
      <c r="E22" s="87"/>
      <c r="F22" s="62"/>
      <c r="G22" s="56"/>
    </row>
    <row r="23" spans="1:12" s="77" customFormat="1" ht="15" customHeight="1">
      <c r="A23" s="99"/>
      <c r="B23" s="64" t="s">
        <v>371</v>
      </c>
      <c r="C23" s="53" t="s">
        <v>10</v>
      </c>
      <c r="D23" s="54">
        <f>8.6</f>
        <v>8.6</v>
      </c>
      <c r="E23" s="87"/>
      <c r="F23" s="55"/>
      <c r="G23" s="56">
        <f>$D23*F23</f>
        <v>0</v>
      </c>
    </row>
    <row r="24" spans="1:12">
      <c r="A24" s="109"/>
      <c r="B24" s="57"/>
      <c r="C24" s="41"/>
      <c r="F24" s="58"/>
    </row>
    <row r="25" spans="1:12" s="77" customFormat="1" ht="76.5">
      <c r="A25" s="13" t="s">
        <v>245</v>
      </c>
      <c r="B25" s="60" t="s">
        <v>374</v>
      </c>
      <c r="C25" s="53"/>
      <c r="D25" s="61"/>
      <c r="E25" s="87"/>
      <c r="F25" s="62"/>
      <c r="G25" s="56"/>
    </row>
    <row r="26" spans="1:12" s="77" customFormat="1">
      <c r="A26" s="99" t="s">
        <v>190</v>
      </c>
      <c r="B26" s="64" t="s">
        <v>372</v>
      </c>
      <c r="C26" s="53" t="s">
        <v>10</v>
      </c>
      <c r="D26" s="54">
        <f>471+15.67+24.29+95+21.04+9.88+(6.63*25.25)</f>
        <v>804.28750000000002</v>
      </c>
      <c r="E26" s="87"/>
      <c r="F26" s="55"/>
      <c r="G26" s="56">
        <f>$D26*F26</f>
        <v>0</v>
      </c>
    </row>
    <row r="27" spans="1:12" s="77" customFormat="1">
      <c r="A27" s="99"/>
      <c r="B27" s="64"/>
      <c r="C27" s="53"/>
      <c r="D27" s="198"/>
      <c r="E27" s="87"/>
      <c r="F27" s="62"/>
      <c r="G27" s="56"/>
    </row>
    <row r="28" spans="1:12">
      <c r="A28" s="109"/>
      <c r="B28" s="57"/>
      <c r="C28" s="41"/>
      <c r="F28" s="58"/>
    </row>
    <row r="29" spans="1:12" s="77" customFormat="1" ht="157.5" customHeight="1">
      <c r="A29" s="13" t="s">
        <v>246</v>
      </c>
      <c r="B29" s="60" t="s">
        <v>396</v>
      </c>
      <c r="C29" s="53"/>
      <c r="D29" s="61"/>
      <c r="E29" s="87"/>
      <c r="F29" s="62"/>
      <c r="G29" s="56"/>
    </row>
    <row r="30" spans="1:12" s="77" customFormat="1">
      <c r="A30" s="99" t="s">
        <v>190</v>
      </c>
      <c r="B30" s="64" t="s">
        <v>373</v>
      </c>
      <c r="C30" s="53" t="s">
        <v>10</v>
      </c>
      <c r="D30" s="54">
        <f>76.4</f>
        <v>76.400000000000006</v>
      </c>
      <c r="E30" s="87"/>
      <c r="F30" s="55"/>
      <c r="G30" s="56">
        <f>$D30*F30</f>
        <v>0</v>
      </c>
    </row>
    <row r="31" spans="1:12" s="77" customFormat="1">
      <c r="A31" s="99" t="s">
        <v>191</v>
      </c>
      <c r="B31" s="64" t="s">
        <v>395</v>
      </c>
      <c r="C31" s="53" t="s">
        <v>10</v>
      </c>
      <c r="D31" s="54">
        <v>82.35</v>
      </c>
      <c r="E31" s="87"/>
      <c r="F31" s="55"/>
      <c r="G31" s="56">
        <f>F31*D31</f>
        <v>0</v>
      </c>
    </row>
    <row r="32" spans="1:12">
      <c r="A32" s="109"/>
      <c r="B32" s="57"/>
      <c r="C32" s="41"/>
      <c r="F32" s="58"/>
    </row>
    <row r="33" spans="1:7" s="77" customFormat="1">
      <c r="A33" s="84"/>
      <c r="B33" s="85"/>
      <c r="C33" s="81"/>
      <c r="D33" s="82"/>
      <c r="E33" s="76"/>
      <c r="F33" s="83"/>
      <c r="G33" s="80"/>
    </row>
    <row r="34" spans="1:7" s="92" customFormat="1">
      <c r="A34" s="68"/>
      <c r="B34" s="69" t="s">
        <v>243</v>
      </c>
      <c r="C34" s="70"/>
      <c r="D34" s="89"/>
      <c r="E34" s="90"/>
      <c r="F34" s="71"/>
      <c r="G34" s="91"/>
    </row>
    <row r="35" spans="1:7" s="92" customFormat="1">
      <c r="A35" s="66"/>
      <c r="B35" s="67" t="s">
        <v>15</v>
      </c>
      <c r="C35" s="206"/>
      <c r="D35" s="93"/>
      <c r="E35" s="87"/>
      <c r="F35" s="65"/>
      <c r="G35" s="72">
        <f>SUM(G18:G34)</f>
        <v>0</v>
      </c>
    </row>
    <row r="36" spans="1:7" s="92" customFormat="1">
      <c r="A36" s="277"/>
      <c r="B36" s="278"/>
      <c r="C36" s="279"/>
      <c r="D36" s="91"/>
      <c r="E36" s="90"/>
      <c r="F36" s="280"/>
      <c r="G36" s="91"/>
    </row>
  </sheetData>
  <mergeCells count="7">
    <mergeCell ref="F4:G4"/>
    <mergeCell ref="A13:F13"/>
    <mergeCell ref="A8:G8"/>
    <mergeCell ref="A9:F9"/>
    <mergeCell ref="A10:F10"/>
    <mergeCell ref="A11:F11"/>
    <mergeCell ref="A12:F12"/>
  </mergeCells>
  <pageMargins left="0.59055118110236227" right="0.19685039370078741" top="0.59055118110236227" bottom="0.59055118110236227" header="0.19685039370078741" footer="0.19685039370078741"/>
  <pageSetup paperSize="9" scale="9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39997558519241921"/>
    <pageSetUpPr fitToPage="1"/>
  </sheetPr>
  <dimension ref="A1:H39"/>
  <sheetViews>
    <sheetView showZeros="0" view="pageBreakPreview" topLeftCell="A13" zoomScaleNormal="100" zoomScaleSheetLayoutView="100" workbookViewId="0">
      <selection activeCell="B20" sqref="B20"/>
    </sheetView>
  </sheetViews>
  <sheetFormatPr defaultRowHeight="15"/>
  <cols>
    <col min="1" max="1" width="5.7109375" style="59" customWidth="1"/>
    <col min="2" max="2" width="45.7109375" style="73" customWidth="1"/>
    <col min="3" max="3" width="6.7109375" style="74" customWidth="1"/>
    <col min="4" max="4" width="10.7109375" style="15" customWidth="1"/>
    <col min="5" max="5" width="2.7109375" style="11" customWidth="1"/>
    <col min="6" max="6" width="15.7109375" style="75" customWidth="1"/>
    <col min="7" max="7" width="15.7109375" style="15" customWidth="1"/>
  </cols>
  <sheetData>
    <row r="1" spans="1:8" s="4" customFormat="1" ht="18">
      <c r="A1" s="273"/>
      <c r="B1" s="274"/>
      <c r="C1" s="274"/>
      <c r="D1" s="274"/>
      <c r="E1" s="274"/>
      <c r="F1" s="274"/>
      <c r="G1" s="275"/>
    </row>
    <row r="2" spans="1:8" s="8" customFormat="1" ht="18">
      <c r="A2" s="5"/>
      <c r="B2" s="6" t="s">
        <v>0</v>
      </c>
      <c r="C2" s="6"/>
      <c r="D2" s="6"/>
      <c r="E2" s="6"/>
      <c r="F2" s="6"/>
      <c r="G2" s="7"/>
    </row>
    <row r="3" spans="1:8" s="4" customFormat="1" ht="18">
      <c r="A3" s="1"/>
      <c r="B3" s="2"/>
      <c r="C3" s="2"/>
      <c r="D3" s="2"/>
      <c r="E3" s="2"/>
      <c r="F3" s="2"/>
      <c r="G3" s="3"/>
    </row>
    <row r="4" spans="1:8" s="12" customFormat="1" ht="60" customHeight="1">
      <c r="A4" s="222"/>
      <c r="B4" s="9" t="s">
        <v>247</v>
      </c>
      <c r="C4" s="10"/>
      <c r="D4" s="223"/>
      <c r="E4" s="11"/>
      <c r="F4" s="969" t="s">
        <v>367</v>
      </c>
      <c r="G4" s="970"/>
    </row>
    <row r="5" spans="1:8" s="12" customFormat="1">
      <c r="A5" s="13"/>
      <c r="B5" s="14"/>
      <c r="C5" s="14"/>
      <c r="D5" s="15"/>
      <c r="E5" s="11"/>
      <c r="G5" s="15"/>
    </row>
    <row r="6" spans="1:8" s="12" customFormat="1">
      <c r="A6" s="16" t="s">
        <v>2</v>
      </c>
      <c r="B6" s="17" t="s">
        <v>3</v>
      </c>
      <c r="C6" s="18" t="s">
        <v>4</v>
      </c>
      <c r="D6" s="19" t="s">
        <v>6</v>
      </c>
      <c r="E6" s="20"/>
      <c r="F6" s="19" t="s">
        <v>5</v>
      </c>
      <c r="G6" s="19" t="s">
        <v>7</v>
      </c>
    </row>
    <row r="7" spans="1:8">
      <c r="A7" s="22"/>
      <c r="B7" s="23"/>
      <c r="C7" s="24"/>
      <c r="D7" s="25"/>
      <c r="E7" s="26"/>
      <c r="F7" s="26"/>
      <c r="G7" s="27"/>
    </row>
    <row r="8" spans="1:8" s="29" customFormat="1">
      <c r="A8" s="971" t="s">
        <v>8</v>
      </c>
      <c r="B8" s="972"/>
      <c r="C8" s="972"/>
      <c r="D8" s="972"/>
      <c r="E8" s="972"/>
      <c r="F8" s="972"/>
      <c r="G8" s="973"/>
      <c r="H8" s="28"/>
    </row>
    <row r="9" spans="1:8">
      <c r="A9" s="965"/>
      <c r="B9" s="966"/>
      <c r="C9" s="966"/>
      <c r="D9" s="966"/>
      <c r="E9" s="966"/>
      <c r="F9" s="966"/>
      <c r="G9" s="27"/>
    </row>
    <row r="10" spans="1:8" ht="142.5" customHeight="1">
      <c r="A10" s="967" t="s">
        <v>161</v>
      </c>
      <c r="B10" s="976"/>
      <c r="C10" s="976"/>
      <c r="D10" s="976"/>
      <c r="E10" s="976"/>
      <c r="F10" s="976"/>
      <c r="G10" s="27"/>
    </row>
    <row r="11" spans="1:8" ht="94.5" customHeight="1">
      <c r="A11" s="967" t="s">
        <v>162</v>
      </c>
      <c r="B11" s="976"/>
      <c r="C11" s="976"/>
      <c r="D11" s="976"/>
      <c r="E11" s="976"/>
      <c r="F11" s="976"/>
      <c r="G11" s="27"/>
    </row>
    <row r="12" spans="1:8" ht="45" customHeight="1">
      <c r="A12" s="967" t="s">
        <v>131</v>
      </c>
      <c r="B12" s="976"/>
      <c r="C12" s="976"/>
      <c r="D12" s="976"/>
      <c r="E12" s="976"/>
      <c r="F12" s="976"/>
      <c r="G12" s="27"/>
    </row>
    <row r="13" spans="1:8">
      <c r="A13" s="965"/>
      <c r="B13" s="966"/>
      <c r="C13" s="966"/>
      <c r="D13" s="966"/>
      <c r="E13" s="966"/>
      <c r="F13" s="966"/>
      <c r="G13" s="27"/>
    </row>
    <row r="14" spans="1:8">
      <c r="A14" s="965"/>
      <c r="B14" s="966"/>
      <c r="C14" s="966"/>
      <c r="D14" s="966"/>
      <c r="E14" s="966"/>
      <c r="F14" s="966"/>
      <c r="G14" s="27"/>
    </row>
    <row r="15" spans="1:8">
      <c r="A15" s="224"/>
      <c r="B15" s="225"/>
      <c r="C15" s="31"/>
      <c r="D15" s="32"/>
      <c r="E15" s="30"/>
      <c r="F15" s="30"/>
      <c r="G15" s="33"/>
    </row>
    <row r="16" spans="1:8">
      <c r="A16" s="224"/>
      <c r="B16" s="225"/>
      <c r="C16" s="31"/>
      <c r="D16" s="32"/>
      <c r="E16" s="30"/>
      <c r="F16" s="30"/>
      <c r="G16" s="33"/>
    </row>
    <row r="17" spans="1:7">
      <c r="A17" s="34"/>
      <c r="B17" s="35"/>
      <c r="C17" s="36"/>
      <c r="D17" s="36"/>
      <c r="E17" s="37"/>
      <c r="F17" s="36"/>
      <c r="G17" s="38"/>
    </row>
    <row r="18" spans="1:7">
      <c r="A18" s="39"/>
      <c r="B18" s="40"/>
      <c r="C18" s="41"/>
      <c r="D18" s="42"/>
      <c r="F18" s="43"/>
      <c r="G18" s="42"/>
    </row>
    <row r="19" spans="1:7">
      <c r="A19" s="109"/>
      <c r="B19" s="57"/>
      <c r="C19" s="41"/>
      <c r="F19" s="58"/>
    </row>
    <row r="20" spans="1:7" s="77" customFormat="1" ht="159.75" customHeight="1">
      <c r="A20" s="13" t="s">
        <v>44</v>
      </c>
      <c r="B20" s="60" t="s">
        <v>1560</v>
      </c>
      <c r="C20" s="53"/>
      <c r="D20" s="61"/>
      <c r="E20" s="87"/>
      <c r="F20" s="62"/>
      <c r="G20" s="56"/>
    </row>
    <row r="21" spans="1:7" s="77" customFormat="1">
      <c r="A21" s="99"/>
      <c r="B21" s="52" t="s">
        <v>78</v>
      </c>
      <c r="C21" s="53" t="s">
        <v>22</v>
      </c>
      <c r="D21" s="54">
        <v>957.06</v>
      </c>
      <c r="E21" s="87"/>
      <c r="F21" s="55"/>
      <c r="G21" s="56">
        <f>$D21*F21</f>
        <v>0</v>
      </c>
    </row>
    <row r="22" spans="1:7" s="186" customFormat="1">
      <c r="A22" s="109"/>
      <c r="B22" s="57"/>
      <c r="C22" s="41"/>
      <c r="D22" s="15"/>
      <c r="E22" s="11"/>
      <c r="F22" s="58"/>
      <c r="G22" s="15"/>
    </row>
    <row r="23" spans="1:7" s="77" customFormat="1" ht="102.75" customHeight="1">
      <c r="A23" s="13" t="s">
        <v>45</v>
      </c>
      <c r="B23" s="60" t="s">
        <v>163</v>
      </c>
      <c r="C23" s="53"/>
      <c r="D23" s="61"/>
      <c r="E23" s="87"/>
      <c r="F23" s="62"/>
      <c r="G23" s="56"/>
    </row>
    <row r="24" spans="1:7" s="77" customFormat="1">
      <c r="A24" s="99" t="s">
        <v>190</v>
      </c>
      <c r="B24" s="52" t="s">
        <v>79</v>
      </c>
      <c r="C24" s="53" t="s">
        <v>22</v>
      </c>
      <c r="D24" s="54">
        <f>(4.2+4.89+3.56)+(14.98)+12.4+12.4+18.71+6.1+(3.54+4.72)</f>
        <v>85.5</v>
      </c>
      <c r="E24" s="87"/>
      <c r="F24" s="55"/>
      <c r="G24" s="56">
        <f>$D24*F24</f>
        <v>0</v>
      </c>
    </row>
    <row r="25" spans="1:7" s="77" customFormat="1">
      <c r="A25" s="99" t="s">
        <v>191</v>
      </c>
      <c r="B25" s="52" t="s">
        <v>80</v>
      </c>
      <c r="C25" s="53" t="s">
        <v>22</v>
      </c>
      <c r="D25" s="54">
        <f>2.9*3*2</f>
        <v>17.399999999999999</v>
      </c>
      <c r="E25" s="87"/>
      <c r="F25" s="55"/>
      <c r="G25" s="56">
        <f>$D25*F25</f>
        <v>0</v>
      </c>
    </row>
    <row r="26" spans="1:7">
      <c r="A26" s="109"/>
      <c r="B26" s="57"/>
      <c r="C26" s="41"/>
      <c r="F26" s="58"/>
    </row>
    <row r="27" spans="1:7" s="77" customFormat="1" ht="53.25" customHeight="1">
      <c r="A27" s="13" t="s">
        <v>57</v>
      </c>
      <c r="B27" s="60" t="s">
        <v>136</v>
      </c>
      <c r="C27" s="53"/>
      <c r="D27" s="61"/>
      <c r="E27" s="87"/>
      <c r="F27" s="62"/>
      <c r="G27" s="56"/>
    </row>
    <row r="28" spans="1:7" s="77" customFormat="1">
      <c r="A28" s="99"/>
      <c r="B28" s="52" t="s">
        <v>341</v>
      </c>
      <c r="C28" s="53" t="s">
        <v>22</v>
      </c>
      <c r="D28" s="54">
        <f>25.97+25.97+30.41</f>
        <v>82.35</v>
      </c>
      <c r="E28" s="87"/>
      <c r="F28" s="55"/>
      <c r="G28" s="56">
        <f>$D28*F28</f>
        <v>0</v>
      </c>
    </row>
    <row r="29" spans="1:7">
      <c r="A29" s="109"/>
      <c r="B29" s="57"/>
      <c r="C29" s="41"/>
      <c r="F29" s="58"/>
    </row>
    <row r="30" spans="1:7" s="77" customFormat="1" ht="150" customHeight="1">
      <c r="A30" s="13" t="s">
        <v>58</v>
      </c>
      <c r="B30" s="60" t="s">
        <v>98</v>
      </c>
      <c r="C30" s="53"/>
      <c r="D30" s="61"/>
      <c r="E30" s="87"/>
      <c r="F30" s="62"/>
      <c r="G30" s="56"/>
    </row>
    <row r="31" spans="1:7" s="77" customFormat="1" ht="141.75" customHeight="1">
      <c r="A31" s="13"/>
      <c r="B31" s="184" t="s">
        <v>164</v>
      </c>
      <c r="C31" s="53"/>
      <c r="D31" s="61"/>
      <c r="E31" s="87"/>
      <c r="F31" s="62"/>
      <c r="G31" s="56"/>
    </row>
    <row r="32" spans="1:7" s="77" customFormat="1" ht="15" customHeight="1">
      <c r="A32" s="99"/>
      <c r="B32" s="52" t="s">
        <v>99</v>
      </c>
      <c r="C32" s="53" t="s">
        <v>22</v>
      </c>
      <c r="D32" s="54">
        <f>880</f>
        <v>880</v>
      </c>
      <c r="E32" s="87"/>
      <c r="F32" s="55"/>
      <c r="G32" s="56">
        <f>$D32*F32</f>
        <v>0</v>
      </c>
    </row>
    <row r="33" spans="1:7" s="77" customFormat="1">
      <c r="A33" s="84"/>
      <c r="B33" s="85"/>
      <c r="C33" s="81"/>
      <c r="D33" s="82"/>
      <c r="E33" s="76"/>
      <c r="F33" s="83"/>
      <c r="G33" s="80"/>
    </row>
    <row r="34" spans="1:7" s="92" customFormat="1">
      <c r="A34" s="68"/>
      <c r="B34" s="69" t="s">
        <v>247</v>
      </c>
      <c r="C34" s="70"/>
      <c r="D34" s="89"/>
      <c r="E34" s="90"/>
      <c r="F34" s="71"/>
      <c r="G34" s="91"/>
    </row>
    <row r="35" spans="1:7" s="92" customFormat="1">
      <c r="A35" s="66"/>
      <c r="B35" s="67" t="s">
        <v>15</v>
      </c>
      <c r="C35" s="206"/>
      <c r="D35" s="93"/>
      <c r="E35" s="87"/>
      <c r="F35" s="65"/>
      <c r="G35" s="72">
        <f>SUM(G19:G34)</f>
        <v>0</v>
      </c>
    </row>
    <row r="36" spans="1:7" s="92" customFormat="1">
      <c r="A36" s="277"/>
      <c r="B36" s="278"/>
      <c r="C36" s="279"/>
      <c r="D36" s="91"/>
      <c r="E36" s="90"/>
      <c r="F36" s="280"/>
      <c r="G36" s="91"/>
    </row>
    <row r="37" spans="1:7">
      <c r="B37" s="107"/>
    </row>
    <row r="39" spans="1:7" ht="15" customHeight="1"/>
  </sheetData>
  <mergeCells count="8">
    <mergeCell ref="F4:G4"/>
    <mergeCell ref="A14:F14"/>
    <mergeCell ref="A8:G8"/>
    <mergeCell ref="A9:F9"/>
    <mergeCell ref="A10:F10"/>
    <mergeCell ref="A11:F11"/>
    <mergeCell ref="A12:F12"/>
    <mergeCell ref="A13:F13"/>
  </mergeCells>
  <pageMargins left="0.59055118110236227" right="0.19685039370078741" top="0.59055118110236227" bottom="0.59055118110236227" header="0.19685039370078741" footer="0.19685039370078741"/>
  <pageSetup paperSize="9" scale="91" fitToHeight="0" orientation="portrait" r:id="rId1"/>
  <ignoredErrors>
    <ignoredError sqref="D24:D25 D32"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249977111117893"/>
    <pageSetUpPr fitToPage="1"/>
  </sheetPr>
  <dimension ref="A1:L30"/>
  <sheetViews>
    <sheetView showZeros="0" view="pageBreakPreview" topLeftCell="A10" zoomScaleNormal="100" zoomScaleSheetLayoutView="100" workbookViewId="0">
      <selection activeCell="F24" sqref="F24"/>
    </sheetView>
  </sheetViews>
  <sheetFormatPr defaultRowHeight="15"/>
  <cols>
    <col min="1" max="1" width="5.7109375" style="59" customWidth="1"/>
    <col min="2" max="2" width="45.7109375" style="73" customWidth="1"/>
    <col min="3" max="3" width="6.7109375" style="74" customWidth="1"/>
    <col min="4" max="4" width="10.7109375" style="15" customWidth="1"/>
    <col min="5" max="5" width="2.7109375" style="11" customWidth="1"/>
    <col min="6" max="6" width="15.7109375" style="75" customWidth="1"/>
    <col min="7" max="7" width="15.7109375" style="15" customWidth="1"/>
  </cols>
  <sheetData>
    <row r="1" spans="1:8" s="4" customFormat="1" ht="18">
      <c r="A1" s="273"/>
      <c r="B1" s="274"/>
      <c r="C1" s="274"/>
      <c r="D1" s="274"/>
      <c r="E1" s="274"/>
      <c r="F1" s="274"/>
      <c r="G1" s="275"/>
    </row>
    <row r="2" spans="1:8" s="8" customFormat="1" ht="18">
      <c r="A2" s="5"/>
      <c r="B2" s="6" t="s">
        <v>0</v>
      </c>
      <c r="C2" s="6"/>
      <c r="D2" s="6"/>
      <c r="E2" s="6"/>
      <c r="F2" s="6"/>
      <c r="G2" s="7"/>
    </row>
    <row r="3" spans="1:8" s="4" customFormat="1" ht="18">
      <c r="A3" s="1"/>
      <c r="B3" s="2"/>
      <c r="C3" s="2"/>
      <c r="D3" s="2"/>
      <c r="E3" s="2"/>
      <c r="F3" s="2"/>
      <c r="G3" s="3"/>
    </row>
    <row r="4" spans="1:8" s="12" customFormat="1" ht="60" customHeight="1">
      <c r="A4" s="222"/>
      <c r="B4" s="9" t="s">
        <v>248</v>
      </c>
      <c r="C4" s="10"/>
      <c r="D4" s="223"/>
      <c r="E4" s="11"/>
      <c r="F4" s="969" t="s">
        <v>367</v>
      </c>
      <c r="G4" s="970"/>
    </row>
    <row r="5" spans="1:8" s="12" customFormat="1">
      <c r="A5" s="44"/>
      <c r="B5" s="281"/>
      <c r="C5" s="281"/>
      <c r="D5" s="282"/>
      <c r="E5" s="48"/>
      <c r="F5" s="283"/>
      <c r="G5" s="282"/>
    </row>
    <row r="6" spans="1:8" s="12" customFormat="1">
      <c r="A6" s="16" t="s">
        <v>2</v>
      </c>
      <c r="B6" s="17" t="s">
        <v>3</v>
      </c>
      <c r="C6" s="18" t="s">
        <v>4</v>
      </c>
      <c r="D6" s="19" t="s">
        <v>6</v>
      </c>
      <c r="E6" s="20"/>
      <c r="F6" s="19" t="s">
        <v>5</v>
      </c>
      <c r="G6" s="19" t="s">
        <v>7</v>
      </c>
    </row>
    <row r="7" spans="1:8">
      <c r="A7" s="22"/>
      <c r="B7" s="23"/>
      <c r="C7" s="24"/>
      <c r="D7" s="25"/>
      <c r="E7" s="26"/>
      <c r="F7" s="26"/>
      <c r="G7" s="27"/>
    </row>
    <row r="8" spans="1:8" s="29" customFormat="1">
      <c r="A8" s="971" t="s">
        <v>8</v>
      </c>
      <c r="B8" s="972"/>
      <c r="C8" s="972"/>
      <c r="D8" s="972"/>
      <c r="E8" s="972"/>
      <c r="F8" s="972"/>
      <c r="G8" s="973"/>
      <c r="H8" s="28"/>
    </row>
    <row r="9" spans="1:8">
      <c r="A9" s="965"/>
      <c r="B9" s="966"/>
      <c r="C9" s="966"/>
      <c r="D9" s="966"/>
      <c r="E9" s="966"/>
      <c r="F9" s="966"/>
      <c r="G9" s="27"/>
    </row>
    <row r="10" spans="1:8" ht="145.5" customHeight="1">
      <c r="A10" s="967" t="s">
        <v>165</v>
      </c>
      <c r="B10" s="976"/>
      <c r="C10" s="976"/>
      <c r="D10" s="976"/>
      <c r="E10" s="976"/>
      <c r="F10" s="976"/>
      <c r="G10" s="27"/>
    </row>
    <row r="11" spans="1:8" ht="62.25" customHeight="1">
      <c r="A11" s="967" t="s">
        <v>166</v>
      </c>
      <c r="B11" s="976"/>
      <c r="C11" s="976"/>
      <c r="D11" s="976"/>
      <c r="E11" s="976"/>
      <c r="F11" s="976"/>
      <c r="G11" s="27"/>
    </row>
    <row r="12" spans="1:8" ht="53.25" customHeight="1">
      <c r="A12" s="967" t="s">
        <v>167</v>
      </c>
      <c r="B12" s="976"/>
      <c r="C12" s="976"/>
      <c r="D12" s="976"/>
      <c r="E12" s="976"/>
      <c r="F12" s="976"/>
      <c r="G12" s="27"/>
    </row>
    <row r="13" spans="1:8">
      <c r="A13" s="965"/>
      <c r="B13" s="966"/>
      <c r="C13" s="966"/>
      <c r="D13" s="966"/>
      <c r="E13" s="966"/>
      <c r="F13" s="966"/>
      <c r="G13" s="27"/>
    </row>
    <row r="14" spans="1:8">
      <c r="A14" s="965"/>
      <c r="B14" s="966"/>
      <c r="C14" s="966"/>
      <c r="D14" s="966"/>
      <c r="E14" s="966"/>
      <c r="F14" s="966"/>
      <c r="G14" s="27"/>
    </row>
    <row r="15" spans="1:8">
      <c r="A15" s="224"/>
      <c r="B15" s="225"/>
      <c r="C15" s="31"/>
      <c r="D15" s="32"/>
      <c r="E15" s="30"/>
      <c r="F15" s="30"/>
      <c r="G15" s="33"/>
    </row>
    <row r="16" spans="1:8">
      <c r="A16" s="224"/>
      <c r="B16" s="225"/>
      <c r="C16" s="31"/>
      <c r="D16" s="32"/>
      <c r="E16" s="30"/>
      <c r="F16" s="30"/>
      <c r="G16" s="33"/>
    </row>
    <row r="17" spans="1:12">
      <c r="A17" s="34"/>
      <c r="B17" s="35"/>
      <c r="C17" s="36"/>
      <c r="D17" s="36"/>
      <c r="E17" s="37"/>
      <c r="F17" s="36"/>
      <c r="G17" s="38"/>
    </row>
    <row r="18" spans="1:12">
      <c r="A18" s="39"/>
      <c r="B18" s="40"/>
      <c r="C18" s="41"/>
      <c r="D18" s="42"/>
      <c r="F18" s="43"/>
      <c r="G18" s="42"/>
    </row>
    <row r="19" spans="1:12">
      <c r="A19" s="44"/>
      <c r="B19" s="45"/>
      <c r="C19" s="46"/>
      <c r="D19" s="47"/>
      <c r="E19" s="48"/>
      <c r="F19" s="49"/>
      <c r="G19" s="50"/>
    </row>
    <row r="20" spans="1:12" ht="348.75" customHeight="1">
      <c r="A20" s="13" t="s">
        <v>46</v>
      </c>
      <c r="B20" s="210" t="s">
        <v>168</v>
      </c>
      <c r="C20" s="53"/>
      <c r="D20" s="61"/>
      <c r="F20" s="62"/>
      <c r="G20" s="56"/>
    </row>
    <row r="21" spans="1:12">
      <c r="A21" s="108"/>
      <c r="B21" s="52" t="s">
        <v>36</v>
      </c>
      <c r="C21" s="53" t="s">
        <v>10</v>
      </c>
      <c r="D21" s="349">
        <f>12.47+12.47+16.2</f>
        <v>41.14</v>
      </c>
      <c r="F21" s="55"/>
      <c r="G21" s="56">
        <f>$D21*F21</f>
        <v>0</v>
      </c>
      <c r="H21" s="88"/>
      <c r="I21" s="88"/>
      <c r="J21" s="88"/>
      <c r="K21" s="88"/>
      <c r="L21" s="88"/>
    </row>
    <row r="22" spans="1:12">
      <c r="A22" s="109"/>
      <c r="B22" s="57"/>
      <c r="C22" s="41"/>
      <c r="F22" s="58"/>
    </row>
    <row r="23" spans="1:12" s="77" customFormat="1" ht="161.25" customHeight="1">
      <c r="A23" s="86" t="s">
        <v>47</v>
      </c>
      <c r="B23" s="60" t="s">
        <v>130</v>
      </c>
      <c r="C23" s="53"/>
      <c r="D23" s="61"/>
      <c r="E23" s="87"/>
      <c r="F23" s="62"/>
      <c r="G23" s="56"/>
    </row>
    <row r="24" spans="1:12" s="77" customFormat="1">
      <c r="A24" s="99"/>
      <c r="B24" s="64" t="s">
        <v>37</v>
      </c>
      <c r="C24" s="53" t="s">
        <v>38</v>
      </c>
      <c r="D24" s="349">
        <f>45.6-(3*0.9)</f>
        <v>42.9</v>
      </c>
      <c r="E24" s="87"/>
      <c r="F24" s="55"/>
      <c r="G24" s="56">
        <f>$D24*F24</f>
        <v>0</v>
      </c>
    </row>
    <row r="25" spans="1:12" s="77" customFormat="1">
      <c r="A25" s="84"/>
      <c r="B25" s="85"/>
      <c r="C25" s="81"/>
      <c r="D25" s="82"/>
      <c r="E25" s="76"/>
      <c r="F25" s="83"/>
      <c r="G25" s="80"/>
    </row>
    <row r="26" spans="1:12" s="92" customFormat="1">
      <c r="A26" s="68"/>
      <c r="B26" s="69" t="s">
        <v>248</v>
      </c>
      <c r="C26" s="70"/>
      <c r="D26" s="89"/>
      <c r="E26" s="90"/>
      <c r="F26" s="71"/>
      <c r="G26" s="91"/>
    </row>
    <row r="27" spans="1:12" s="92" customFormat="1">
      <c r="A27" s="66"/>
      <c r="B27" s="67" t="s">
        <v>15</v>
      </c>
      <c r="C27" s="206"/>
      <c r="D27" s="93"/>
      <c r="E27" s="87"/>
      <c r="F27" s="65"/>
      <c r="G27" s="72">
        <f>SUM(G19:G26)</f>
        <v>0</v>
      </c>
    </row>
    <row r="28" spans="1:12" s="92" customFormat="1">
      <c r="A28" s="277"/>
      <c r="B28" s="278"/>
      <c r="C28" s="279"/>
      <c r="D28" s="91"/>
      <c r="E28" s="90"/>
      <c r="F28" s="280"/>
      <c r="G28" s="91"/>
    </row>
    <row r="30" spans="1:12">
      <c r="B30" s="209"/>
    </row>
  </sheetData>
  <mergeCells count="8">
    <mergeCell ref="F4:G4"/>
    <mergeCell ref="A14:F14"/>
    <mergeCell ref="A8:G8"/>
    <mergeCell ref="A9:F9"/>
    <mergeCell ref="A10:F10"/>
    <mergeCell ref="A11:F11"/>
    <mergeCell ref="A12:F12"/>
    <mergeCell ref="A13:F13"/>
  </mergeCells>
  <pageMargins left="0.59055118110236215" right="0.19685039370078741" top="0.59055118110236215" bottom="0.59055118110236215" header="0.19685039370078741" footer="0.19685039370078741"/>
  <pageSetup paperSize="9" scale="91" fitToHeight="0" orientation="portrait" r:id="rId1"/>
  <ignoredErrors>
    <ignoredError sqref="D24 D2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499984740745262"/>
    <pageSetUpPr fitToPage="1"/>
  </sheetPr>
  <dimension ref="A1:L47"/>
  <sheetViews>
    <sheetView showZeros="0" view="pageBreakPreview" topLeftCell="A26" zoomScaleNormal="100" zoomScaleSheetLayoutView="100" workbookViewId="0">
      <selection activeCell="F27" sqref="F27"/>
    </sheetView>
  </sheetViews>
  <sheetFormatPr defaultRowHeight="15"/>
  <cols>
    <col min="1" max="1" width="5.7109375" style="59" customWidth="1"/>
    <col min="2" max="2" width="45.7109375" style="73" customWidth="1"/>
    <col min="3" max="3" width="6.7109375" style="74" customWidth="1"/>
    <col min="4" max="4" width="10.7109375" style="15" customWidth="1"/>
    <col min="5" max="5" width="2.7109375" style="11" customWidth="1"/>
    <col min="6" max="6" width="15.7109375" style="75" customWidth="1"/>
    <col min="7" max="7" width="15.7109375" style="15" customWidth="1"/>
  </cols>
  <sheetData>
    <row r="1" spans="1:8" s="4" customFormat="1" ht="18">
      <c r="A1" s="273"/>
      <c r="B1" s="274"/>
      <c r="C1" s="274"/>
      <c r="D1" s="274"/>
      <c r="E1" s="274"/>
      <c r="F1" s="274"/>
      <c r="G1" s="275"/>
    </row>
    <row r="2" spans="1:8" s="8" customFormat="1" ht="18">
      <c r="A2" s="5"/>
      <c r="B2" s="6" t="s">
        <v>0</v>
      </c>
      <c r="C2" s="6"/>
      <c r="D2" s="6"/>
      <c r="E2" s="6"/>
      <c r="F2" s="6"/>
      <c r="G2" s="7"/>
    </row>
    <row r="3" spans="1:8" s="4" customFormat="1" ht="18">
      <c r="A3" s="1"/>
      <c r="B3" s="2"/>
      <c r="C3" s="2"/>
      <c r="D3" s="2"/>
      <c r="E3" s="2"/>
      <c r="F3" s="2"/>
      <c r="G3" s="3"/>
    </row>
    <row r="4" spans="1:8" s="12" customFormat="1" ht="60" customHeight="1">
      <c r="A4" s="222"/>
      <c r="B4" s="9" t="s">
        <v>201</v>
      </c>
      <c r="C4" s="10"/>
      <c r="D4" s="223"/>
      <c r="E4" s="11"/>
      <c r="F4" s="969" t="s">
        <v>367</v>
      </c>
      <c r="G4" s="970"/>
    </row>
    <row r="5" spans="1:8" s="12" customFormat="1">
      <c r="A5" s="13"/>
      <c r="B5" s="14"/>
      <c r="C5" s="14"/>
      <c r="D5" s="15"/>
      <c r="E5" s="11"/>
      <c r="G5" s="15"/>
    </row>
    <row r="6" spans="1:8" s="12" customFormat="1">
      <c r="A6" s="16" t="s">
        <v>2</v>
      </c>
      <c r="B6" s="17" t="s">
        <v>3</v>
      </c>
      <c r="C6" s="18" t="s">
        <v>4</v>
      </c>
      <c r="D6" s="19" t="s">
        <v>6</v>
      </c>
      <c r="E6" s="20"/>
      <c r="F6" s="19" t="s">
        <v>5</v>
      </c>
      <c r="G6" s="19" t="s">
        <v>7</v>
      </c>
    </row>
    <row r="7" spans="1:8">
      <c r="A7" s="22"/>
      <c r="B7" s="23"/>
      <c r="C7" s="24"/>
      <c r="D7" s="25"/>
      <c r="E7" s="26"/>
      <c r="F7" s="26"/>
      <c r="G7" s="27"/>
    </row>
    <row r="8" spans="1:8" s="29" customFormat="1">
      <c r="A8" s="971" t="s">
        <v>8</v>
      </c>
      <c r="B8" s="972"/>
      <c r="C8" s="972"/>
      <c r="D8" s="972"/>
      <c r="E8" s="972"/>
      <c r="F8" s="972"/>
      <c r="G8" s="973"/>
      <c r="H8" s="28"/>
    </row>
    <row r="9" spans="1:8">
      <c r="A9" s="965"/>
      <c r="B9" s="966"/>
      <c r="C9" s="966"/>
      <c r="D9" s="966"/>
      <c r="E9" s="966"/>
      <c r="F9" s="966"/>
      <c r="G9" s="27"/>
    </row>
    <row r="10" spans="1:8" ht="105.75" customHeight="1">
      <c r="A10" s="967" t="s">
        <v>49</v>
      </c>
      <c r="B10" s="976"/>
      <c r="C10" s="976"/>
      <c r="D10" s="976"/>
      <c r="E10" s="976"/>
      <c r="F10" s="976"/>
      <c r="G10" s="27"/>
    </row>
    <row r="11" spans="1:8" ht="36" customHeight="1">
      <c r="A11" s="967" t="s">
        <v>50</v>
      </c>
      <c r="B11" s="976"/>
      <c r="C11" s="976"/>
      <c r="D11" s="976"/>
      <c r="E11" s="976"/>
      <c r="F11" s="976"/>
      <c r="G11" s="27"/>
    </row>
    <row r="12" spans="1:8" ht="81" customHeight="1">
      <c r="A12" s="967" t="s">
        <v>51</v>
      </c>
      <c r="B12" s="976"/>
      <c r="C12" s="976"/>
      <c r="D12" s="976"/>
      <c r="E12" s="976"/>
      <c r="F12" s="976"/>
      <c r="G12" s="27"/>
    </row>
    <row r="13" spans="1:8">
      <c r="A13" s="965"/>
      <c r="B13" s="966"/>
      <c r="C13" s="966"/>
      <c r="D13" s="966"/>
      <c r="E13" s="966"/>
      <c r="F13" s="966"/>
      <c r="G13" s="27"/>
    </row>
    <row r="14" spans="1:8">
      <c r="A14" s="965"/>
      <c r="B14" s="966"/>
      <c r="C14" s="966"/>
      <c r="D14" s="966"/>
      <c r="E14" s="966"/>
      <c r="F14" s="966"/>
      <c r="G14" s="27"/>
    </row>
    <row r="15" spans="1:8">
      <c r="A15" s="224"/>
      <c r="B15" s="225"/>
      <c r="C15" s="31"/>
      <c r="D15" s="32"/>
      <c r="E15" s="30"/>
      <c r="F15" s="30"/>
      <c r="G15" s="33"/>
    </row>
    <row r="16" spans="1:8">
      <c r="A16" s="224"/>
      <c r="B16" s="225"/>
      <c r="C16" s="31"/>
      <c r="D16" s="32"/>
      <c r="E16" s="30"/>
      <c r="F16" s="30"/>
      <c r="G16" s="33"/>
    </row>
    <row r="17" spans="1:12">
      <c r="A17" s="34"/>
      <c r="B17" s="35"/>
      <c r="C17" s="36"/>
      <c r="D17" s="36"/>
      <c r="E17" s="37"/>
      <c r="F17" s="36"/>
      <c r="G17" s="38"/>
    </row>
    <row r="18" spans="1:12">
      <c r="A18" s="39"/>
      <c r="B18" s="40"/>
      <c r="C18" s="41"/>
      <c r="D18" s="42"/>
      <c r="F18" s="43"/>
      <c r="G18" s="42"/>
    </row>
    <row r="19" spans="1:12" ht="15.75" customHeight="1">
      <c r="A19" s="44"/>
      <c r="B19" s="45"/>
      <c r="C19" s="46"/>
      <c r="D19" s="47"/>
      <c r="E19" s="48"/>
      <c r="F19" s="49"/>
      <c r="G19" s="50"/>
    </row>
    <row r="20" spans="1:12" ht="344.25">
      <c r="A20" s="13" t="s">
        <v>196</v>
      </c>
      <c r="B20" s="211" t="s">
        <v>377</v>
      </c>
      <c r="C20" s="53"/>
      <c r="D20" s="61"/>
      <c r="F20" s="62"/>
      <c r="G20" s="56"/>
    </row>
    <row r="21" spans="1:12">
      <c r="A21" s="108" t="s">
        <v>190</v>
      </c>
      <c r="B21" s="52" t="s">
        <v>378</v>
      </c>
      <c r="C21" s="53" t="s">
        <v>10</v>
      </c>
      <c r="D21" s="349">
        <f>18.71</f>
        <v>18.71</v>
      </c>
      <c r="F21" s="55"/>
      <c r="G21" s="56">
        <f>$D21*F21</f>
        <v>0</v>
      </c>
      <c r="H21" s="88"/>
      <c r="I21" s="88"/>
      <c r="J21" s="88"/>
      <c r="K21" s="88"/>
      <c r="L21" s="88"/>
    </row>
    <row r="22" spans="1:12" s="186" customFormat="1" ht="18" customHeight="1">
      <c r="A22" s="108" t="s">
        <v>191</v>
      </c>
      <c r="B22" s="52" t="s">
        <v>379</v>
      </c>
      <c r="C22" s="53" t="s">
        <v>10</v>
      </c>
      <c r="D22" s="349">
        <f>68.77</f>
        <v>68.77</v>
      </c>
      <c r="E22" s="11"/>
      <c r="F22" s="55"/>
      <c r="G22" s="56">
        <f>F22*D22</f>
        <v>0</v>
      </c>
      <c r="H22" s="88"/>
      <c r="I22" s="88"/>
      <c r="J22" s="88"/>
      <c r="K22" s="88"/>
      <c r="L22" s="88"/>
    </row>
    <row r="23" spans="1:12" s="186" customFormat="1" ht="15" customHeight="1">
      <c r="A23" s="108" t="s">
        <v>192</v>
      </c>
      <c r="B23" s="52" t="s">
        <v>380</v>
      </c>
      <c r="C23" s="53" t="s">
        <v>10</v>
      </c>
      <c r="D23" s="349">
        <f>21.31+14.7</f>
        <v>36.01</v>
      </c>
      <c r="E23" s="11"/>
      <c r="F23" s="55"/>
      <c r="G23" s="56">
        <f t="shared" ref="G23:G24" si="0">F23*D23</f>
        <v>0</v>
      </c>
      <c r="H23" s="88"/>
      <c r="I23" s="88"/>
      <c r="J23" s="88"/>
      <c r="K23" s="88"/>
      <c r="L23" s="88"/>
    </row>
    <row r="24" spans="1:12" s="186" customFormat="1" ht="15" customHeight="1">
      <c r="A24" s="108" t="s">
        <v>193</v>
      </c>
      <c r="B24" s="52" t="s">
        <v>382</v>
      </c>
      <c r="C24" s="53" t="s">
        <v>38</v>
      </c>
      <c r="D24" s="349">
        <f>20.96+16.1-0.9-0.9</f>
        <v>35.260000000000005</v>
      </c>
      <c r="E24" s="11"/>
      <c r="F24" s="55"/>
      <c r="G24" s="56">
        <f t="shared" si="0"/>
        <v>0</v>
      </c>
      <c r="H24" s="88"/>
      <c r="I24" s="88"/>
      <c r="J24" s="88"/>
      <c r="K24" s="88"/>
      <c r="L24" s="88"/>
    </row>
    <row r="25" spans="1:12">
      <c r="A25" s="13"/>
      <c r="B25" s="60"/>
      <c r="C25" s="53"/>
      <c r="D25" s="61"/>
      <c r="F25" s="62"/>
      <c r="G25" s="56"/>
    </row>
    <row r="26" spans="1:12" ht="209.25" customHeight="1">
      <c r="A26" s="13" t="s">
        <v>197</v>
      </c>
      <c r="B26" s="211" t="s">
        <v>375</v>
      </c>
      <c r="C26" s="53"/>
      <c r="D26" s="61"/>
      <c r="F26" s="62"/>
      <c r="G26" s="56"/>
    </row>
    <row r="27" spans="1:12">
      <c r="A27" s="108"/>
      <c r="B27" s="52" t="s">
        <v>53</v>
      </c>
      <c r="C27" s="53" t="s">
        <v>10</v>
      </c>
      <c r="D27" s="349">
        <f>113.39*2.1-((0.9*2.1)*4+(1.1*2.1)*2+(2.4*2.1)+(1.7*2.1)*2+(0.8*2.1)*1)</f>
        <v>212.07900000000001</v>
      </c>
      <c r="F27" s="55"/>
      <c r="G27" s="56">
        <f>$D27*F27</f>
        <v>0</v>
      </c>
      <c r="H27" s="88" t="s">
        <v>359</v>
      </c>
      <c r="I27" s="88"/>
      <c r="J27" s="88"/>
      <c r="K27" s="88"/>
      <c r="L27" s="88"/>
    </row>
    <row r="28" spans="1:12">
      <c r="A28" s="13"/>
      <c r="B28" s="60"/>
      <c r="C28" s="53"/>
      <c r="D28" s="61"/>
      <c r="F28" s="62"/>
      <c r="G28" s="56"/>
    </row>
    <row r="29" spans="1:12" ht="170.25" customHeight="1">
      <c r="A29" s="13" t="s">
        <v>198</v>
      </c>
      <c r="B29" s="60" t="s">
        <v>376</v>
      </c>
      <c r="C29" s="53"/>
      <c r="D29" s="61"/>
      <c r="F29" s="62"/>
      <c r="G29" s="56"/>
    </row>
    <row r="30" spans="1:12">
      <c r="A30" s="108"/>
      <c r="B30" s="52" t="s">
        <v>53</v>
      </c>
      <c r="C30" s="53" t="s">
        <v>10</v>
      </c>
      <c r="D30" s="349">
        <f>18.59*2.1-((1*2.1)+(0.8*2.1))</f>
        <v>35.259</v>
      </c>
      <c r="F30" s="55"/>
      <c r="G30" s="56">
        <f>$D30*F30</f>
        <v>0</v>
      </c>
      <c r="H30" s="88" t="s">
        <v>359</v>
      </c>
      <c r="I30" s="88"/>
      <c r="J30" s="88"/>
      <c r="K30" s="88"/>
      <c r="L30" s="88"/>
    </row>
    <row r="31" spans="1:12">
      <c r="A31" s="109"/>
      <c r="B31" s="57"/>
      <c r="C31" s="41"/>
      <c r="F31" s="58"/>
    </row>
    <row r="32" spans="1:12" s="77" customFormat="1" ht="238.5" customHeight="1">
      <c r="A32" s="86" t="s">
        <v>199</v>
      </c>
      <c r="B32" s="60" t="s">
        <v>381</v>
      </c>
      <c r="C32" s="53"/>
      <c r="D32" s="61"/>
      <c r="E32" s="87"/>
      <c r="F32" s="62"/>
      <c r="G32" s="56"/>
    </row>
    <row r="33" spans="1:7" s="77" customFormat="1">
      <c r="A33" s="99" t="s">
        <v>190</v>
      </c>
      <c r="B33" s="60" t="s">
        <v>54</v>
      </c>
      <c r="C33" s="53" t="s">
        <v>10</v>
      </c>
      <c r="D33" s="350">
        <f>4.9</f>
        <v>4.9000000000000004</v>
      </c>
      <c r="E33" s="87"/>
      <c r="F33" s="55"/>
      <c r="G33" s="56">
        <f>$D33*F33</f>
        <v>0</v>
      </c>
    </row>
    <row r="34" spans="1:7" s="77" customFormat="1">
      <c r="A34" s="99" t="s">
        <v>191</v>
      </c>
      <c r="B34" s="60" t="s">
        <v>55</v>
      </c>
      <c r="C34" s="53" t="s">
        <v>56</v>
      </c>
      <c r="D34" s="350">
        <f>1.9*5</f>
        <v>9.5</v>
      </c>
      <c r="E34" s="87"/>
      <c r="F34" s="55"/>
      <c r="G34" s="56">
        <f>$D34*F34</f>
        <v>0</v>
      </c>
    </row>
    <row r="35" spans="1:7" s="77" customFormat="1">
      <c r="A35" s="99" t="s">
        <v>192</v>
      </c>
      <c r="B35" s="64" t="s">
        <v>52</v>
      </c>
      <c r="C35" s="53" t="s">
        <v>38</v>
      </c>
      <c r="D35" s="349">
        <f>2.5+1.5+0.8</f>
        <v>4.8</v>
      </c>
      <c r="E35" s="87"/>
      <c r="F35" s="55"/>
      <c r="G35" s="56">
        <f>$D35*F35</f>
        <v>0</v>
      </c>
    </row>
    <row r="36" spans="1:7" s="77" customFormat="1" ht="12.95" customHeight="1">
      <c r="A36" s="99"/>
      <c r="B36" s="64"/>
      <c r="C36" s="53"/>
      <c r="D36" s="198"/>
      <c r="E36" s="87"/>
      <c r="F36" s="62"/>
      <c r="G36" s="56"/>
    </row>
    <row r="37" spans="1:7" s="77" customFormat="1" ht="51">
      <c r="A37" s="86" t="s">
        <v>200</v>
      </c>
      <c r="B37" s="64" t="s">
        <v>135</v>
      </c>
      <c r="C37" s="307"/>
      <c r="D37" s="216"/>
      <c r="E37" s="87"/>
      <c r="F37" s="62"/>
      <c r="G37" s="215"/>
    </row>
    <row r="38" spans="1:7" s="77" customFormat="1">
      <c r="A38" s="86"/>
      <c r="B38" s="64" t="s">
        <v>134</v>
      </c>
      <c r="C38" s="53" t="s">
        <v>38</v>
      </c>
      <c r="D38" s="351">
        <f>(2.2*13)+(1.2*1)+(0.9)</f>
        <v>30.7</v>
      </c>
      <c r="E38" s="87"/>
      <c r="F38" s="55"/>
      <c r="G38" s="215">
        <f>$D38*F38</f>
        <v>0</v>
      </c>
    </row>
    <row r="39" spans="1:7" s="77" customFormat="1" ht="12.95" customHeight="1">
      <c r="A39" s="99"/>
      <c r="B39" s="64"/>
      <c r="C39" s="53"/>
      <c r="D39" s="198"/>
      <c r="E39" s="87"/>
      <c r="F39" s="62"/>
      <c r="G39" s="56"/>
    </row>
    <row r="40" spans="1:7" s="77" customFormat="1" ht="63.75">
      <c r="A40" s="86" t="s">
        <v>509</v>
      </c>
      <c r="B40" s="212" t="s">
        <v>132</v>
      </c>
      <c r="C40" s="307"/>
      <c r="D40" s="216"/>
      <c r="E40" s="87"/>
      <c r="F40" s="62"/>
      <c r="G40" s="215"/>
    </row>
    <row r="41" spans="1:7" s="77" customFormat="1">
      <c r="A41" s="86"/>
      <c r="B41" s="212" t="s">
        <v>133</v>
      </c>
      <c r="C41" s="213" t="s">
        <v>38</v>
      </c>
      <c r="D41" s="351">
        <f>0.9*8+1.1+0.8+1</f>
        <v>10.100000000000001</v>
      </c>
      <c r="E41" s="87"/>
      <c r="F41" s="55"/>
      <c r="G41" s="215">
        <f>$D41*F41</f>
        <v>0</v>
      </c>
    </row>
    <row r="42" spans="1:7" s="77" customFormat="1">
      <c r="A42" s="84"/>
      <c r="B42" s="85"/>
      <c r="C42" s="81"/>
      <c r="D42" s="82"/>
      <c r="E42" s="76"/>
      <c r="F42" s="83"/>
      <c r="G42" s="80"/>
    </row>
    <row r="43" spans="1:7" s="92" customFormat="1">
      <c r="A43" s="68"/>
      <c r="B43" s="69" t="s">
        <v>201</v>
      </c>
      <c r="C43" s="70"/>
      <c r="D43" s="89"/>
      <c r="E43" s="90"/>
      <c r="F43" s="71"/>
      <c r="G43" s="91"/>
    </row>
    <row r="44" spans="1:7" s="92" customFormat="1">
      <c r="A44" s="66"/>
      <c r="B44" s="67" t="s">
        <v>15</v>
      </c>
      <c r="C44" s="206"/>
      <c r="D44" s="93"/>
      <c r="E44" s="87"/>
      <c r="F44" s="65"/>
      <c r="G44" s="72">
        <f>SUM(G19:G43)</f>
        <v>0</v>
      </c>
    </row>
    <row r="45" spans="1:7" s="92" customFormat="1">
      <c r="A45" s="277"/>
      <c r="B45" s="278"/>
      <c r="C45" s="279"/>
      <c r="D45" s="91"/>
      <c r="E45" s="90"/>
      <c r="F45" s="280"/>
      <c r="G45" s="91"/>
    </row>
    <row r="47" spans="1:7">
      <c r="B47" s="214"/>
    </row>
  </sheetData>
  <mergeCells count="8">
    <mergeCell ref="F4:G4"/>
    <mergeCell ref="A14:F14"/>
    <mergeCell ref="A8:G8"/>
    <mergeCell ref="A9:F9"/>
    <mergeCell ref="A10:F10"/>
    <mergeCell ref="A11:F11"/>
    <mergeCell ref="A12:F12"/>
    <mergeCell ref="A13:F13"/>
  </mergeCells>
  <pageMargins left="0.59055118110236227" right="0.19685039370078741" top="0.59055118110236227" bottom="0.59055118110236227" header="0.19685039370078741" footer="0.19685039370078741"/>
  <pageSetup paperSize="9" scale="91" fitToHeight="0" orientation="portrait" r:id="rId1"/>
  <ignoredErrors>
    <ignoredError sqref="D21:D24 D35 D38 D4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44</vt:i4>
      </vt:variant>
    </vt:vector>
  </HeadingPairs>
  <TitlesOfParts>
    <vt:vector size="69" baseType="lpstr">
      <vt:lpstr>Naslovnica</vt:lpstr>
      <vt:lpstr>1.Pripremni</vt:lpstr>
      <vt:lpstr>2.Zemljani radovi</vt:lpstr>
      <vt:lpstr>3.Betonski i AB radovi</vt:lpstr>
      <vt:lpstr>4.Zidarski radovi</vt:lpstr>
      <vt:lpstr>5.Termoizolaterski radovi</vt:lpstr>
      <vt:lpstr>6. Hidroizolaterski radovi</vt:lpstr>
      <vt:lpstr>7.Parketarski radovi</vt:lpstr>
      <vt:lpstr>8.Keramičarski radovi</vt:lpstr>
      <vt:lpstr>9.Podopolagački radovi</vt:lpstr>
      <vt:lpstr>10.Gipskartonski radovi</vt:lpstr>
      <vt:lpstr>11.Soboslikarski radovi</vt:lpstr>
      <vt:lpstr>12.Fasaderski radovi</vt:lpstr>
      <vt:lpstr>13.Limarski radovi</vt:lpstr>
      <vt:lpstr>14.Kamenarski radovi</vt:lpstr>
      <vt:lpstr>15.Stolarija</vt:lpstr>
      <vt:lpstr>16.Alu. bravarija</vt:lpstr>
      <vt:lpstr>17.PP bravarija</vt:lpstr>
      <vt:lpstr>18.Crna Bravarija</vt:lpstr>
      <vt:lpstr>19.Okoliš</vt:lpstr>
      <vt:lpstr>20.Razni radovi</vt:lpstr>
      <vt:lpstr>VIK</vt:lpstr>
      <vt:lpstr>ELEKTRO</vt:lpstr>
      <vt:lpstr>GHV</vt:lpstr>
      <vt:lpstr>Rekapitulacija</vt:lpstr>
      <vt:lpstr>'10.Gipskartonski radovi'!Print_Area</vt:lpstr>
      <vt:lpstr>'11.Soboslikarski radovi'!Print_Area</vt:lpstr>
      <vt:lpstr>'12.Fasaderski radovi'!Print_Area</vt:lpstr>
      <vt:lpstr>'13.Limarski radovi'!Print_Area</vt:lpstr>
      <vt:lpstr>'14.Kamenarski radovi'!Print_Area</vt:lpstr>
      <vt:lpstr>'15.Stolarija'!Print_Area</vt:lpstr>
      <vt:lpstr>'16.Alu. bravarija'!Print_Area</vt:lpstr>
      <vt:lpstr>'17.PP bravarija'!Print_Area</vt:lpstr>
      <vt:lpstr>'18.Crna Bravarija'!Print_Area</vt:lpstr>
      <vt:lpstr>'19.Okoliš'!Print_Area</vt:lpstr>
      <vt:lpstr>'2.Zemljani radovi'!Print_Area</vt:lpstr>
      <vt:lpstr>'20.Razni radovi'!Print_Area</vt:lpstr>
      <vt:lpstr>'3.Betonski i AB radovi'!Print_Area</vt:lpstr>
      <vt:lpstr>'4.Zidarski radovi'!Print_Area</vt:lpstr>
      <vt:lpstr>'5.Termoizolaterski radovi'!Print_Area</vt:lpstr>
      <vt:lpstr>'6. Hidroizolaterski radovi'!Print_Area</vt:lpstr>
      <vt:lpstr>'7.Parketarski radovi'!Print_Area</vt:lpstr>
      <vt:lpstr>'8.Keramičarski radovi'!Print_Area</vt:lpstr>
      <vt:lpstr>'9.Podopolagački radovi'!Print_Area</vt:lpstr>
      <vt:lpstr>ELEKTRO!Print_Area</vt:lpstr>
      <vt:lpstr>GHV!Print_Area</vt:lpstr>
      <vt:lpstr>Naslovnica!Print_Area</vt:lpstr>
      <vt:lpstr>Rekapitulacija!Print_Area</vt:lpstr>
      <vt:lpstr>VIK!Print_Area</vt:lpstr>
      <vt:lpstr>'1.Pripremni'!Print_Titles</vt:lpstr>
      <vt:lpstr>'10.Gipskartonski radovi'!Print_Titles</vt:lpstr>
      <vt:lpstr>'11.Soboslikarski radovi'!Print_Titles</vt:lpstr>
      <vt:lpstr>'12.Fasaderski radovi'!Print_Titles</vt:lpstr>
      <vt:lpstr>'13.Limarski radovi'!Print_Titles</vt:lpstr>
      <vt:lpstr>'14.Kamenarski radovi'!Print_Titles</vt:lpstr>
      <vt:lpstr>'15.Stolarija'!Print_Titles</vt:lpstr>
      <vt:lpstr>'16.Alu. bravarija'!Print_Titles</vt:lpstr>
      <vt:lpstr>'17.PP bravarija'!Print_Titles</vt:lpstr>
      <vt:lpstr>'18.Crna Bravarija'!Print_Titles</vt:lpstr>
      <vt:lpstr>'19.Okoliš'!Print_Titles</vt:lpstr>
      <vt:lpstr>'2.Zemljani radovi'!Print_Titles</vt:lpstr>
      <vt:lpstr>'20.Razni radovi'!Print_Titles</vt:lpstr>
      <vt:lpstr>'3.Betonski i AB radovi'!Print_Titles</vt:lpstr>
      <vt:lpstr>'4.Zidarski radovi'!Print_Titles</vt:lpstr>
      <vt:lpstr>'5.Termoizolaterski radovi'!Print_Titles</vt:lpstr>
      <vt:lpstr>'6. Hidroizolaterski radovi'!Print_Titles</vt:lpstr>
      <vt:lpstr>'7.Parketarski radovi'!Print_Titles</vt:lpstr>
      <vt:lpstr>'8.Keramičarski radovi'!Print_Titles</vt:lpstr>
      <vt:lpstr>'9.Podopolagački radovi'!Print_Titles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2021-01-23T16:26:38Z</dcterms:modified>
</cp:coreProperties>
</file>